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tz/Documents/Bristol/Thesis/Maya2OpenSim/SI/"/>
    </mc:Choice>
  </mc:AlternateContent>
  <xr:revisionPtr revIDLastSave="0" documentId="13_ncr:1_{58D78615-0699-EF48-85E5-2B55FF72A551}" xr6:coauthVersionLast="47" xr6:coauthVersionMax="47" xr10:uidLastSave="{00000000-0000-0000-0000-000000000000}"/>
  <bookViews>
    <workbookView xWindow="0" yWindow="460" windowWidth="33600" windowHeight="20540" tabRatio="500" xr2:uid="{00000000-000D-0000-FFFF-FFFF00000000}"/>
  </bookViews>
  <sheets>
    <sheet name="Saurian_muscle_architecture" sheetId="1" r:id="rId1"/>
    <sheet name="Flexor_tibialis_homologi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13" i="1" l="1"/>
  <c r="I595" i="1"/>
  <c r="I604" i="1"/>
  <c r="H615" i="1"/>
  <c r="L567" i="1"/>
  <c r="L594" i="1"/>
  <c r="K594" i="1"/>
  <c r="H470" i="1"/>
  <c r="N469" i="1" s="1"/>
  <c r="H268" i="1"/>
  <c r="L268" i="1" s="1"/>
  <c r="H232" i="1"/>
  <c r="H196" i="1"/>
  <c r="N193" i="1" s="1"/>
  <c r="N194" i="1"/>
  <c r="H89" i="1"/>
  <c r="H55" i="1"/>
  <c r="N52" i="1" s="1"/>
  <c r="H345" i="1"/>
  <c r="N345" i="1" s="1"/>
  <c r="H346" i="1"/>
  <c r="N346" i="1" s="1"/>
  <c r="H347" i="1"/>
  <c r="L347" i="1" s="1"/>
  <c r="H348" i="1"/>
  <c r="L348" i="1" s="1"/>
  <c r="H349" i="1"/>
  <c r="N349" i="1" s="1"/>
  <c r="H344" i="1"/>
  <c r="N344" i="1" s="1"/>
  <c r="L615" i="1"/>
  <c r="L614" i="1"/>
  <c r="L613" i="1"/>
  <c r="L612" i="1"/>
  <c r="L611" i="1"/>
  <c r="L610" i="1"/>
  <c r="L609" i="1"/>
  <c r="L608" i="1"/>
  <c r="L607" i="1"/>
  <c r="L604" i="1"/>
  <c r="L603" i="1"/>
  <c r="L602" i="1"/>
  <c r="L601" i="1"/>
  <c r="L600" i="1"/>
  <c r="L599" i="1"/>
  <c r="L598" i="1"/>
  <c r="L595" i="1"/>
  <c r="L593" i="1"/>
  <c r="L592" i="1"/>
  <c r="L591" i="1"/>
  <c r="L590" i="1"/>
  <c r="L589" i="1"/>
  <c r="L588" i="1"/>
  <c r="L585" i="1"/>
  <c r="L584" i="1"/>
  <c r="L583" i="1"/>
  <c r="L582" i="1"/>
  <c r="L581" i="1"/>
  <c r="H580" i="1"/>
  <c r="L580" i="1" s="1"/>
  <c r="H579" i="1"/>
  <c r="L579" i="1" s="1"/>
  <c r="H578" i="1"/>
  <c r="L578" i="1" s="1"/>
  <c r="H577" i="1"/>
  <c r="L577" i="1" s="1"/>
  <c r="L576" i="1"/>
  <c r="L575" i="1"/>
  <c r="L574" i="1"/>
  <c r="L573" i="1"/>
  <c r="L572" i="1"/>
  <c r="L571" i="1"/>
  <c r="L570" i="1"/>
  <c r="L566" i="1"/>
  <c r="L565" i="1"/>
  <c r="L564" i="1"/>
  <c r="L563" i="1"/>
  <c r="H562" i="1"/>
  <c r="L562" i="1" s="1"/>
  <c r="H561" i="1"/>
  <c r="H560" i="1"/>
  <c r="L560" i="1" s="1"/>
  <c r="H559" i="1"/>
  <c r="L559" i="1"/>
  <c r="H558" i="1"/>
  <c r="H557" i="1"/>
  <c r="L557" i="1" s="1"/>
  <c r="H556" i="1"/>
  <c r="L556" i="1" s="1"/>
  <c r="H555" i="1"/>
  <c r="L555" i="1" s="1"/>
  <c r="H554" i="1"/>
  <c r="L554" i="1" s="1"/>
  <c r="L553" i="1"/>
  <c r="L552" i="1"/>
  <c r="L551" i="1"/>
  <c r="L550" i="1"/>
  <c r="L549" i="1"/>
  <c r="L548" i="1"/>
  <c r="L547" i="1"/>
  <c r="L544" i="1"/>
  <c r="L543" i="1"/>
  <c r="L542" i="1"/>
  <c r="L541" i="1"/>
  <c r="L540" i="1"/>
  <c r="L539" i="1"/>
  <c r="L538" i="1"/>
  <c r="L537" i="1"/>
  <c r="L534" i="1"/>
  <c r="L533" i="1"/>
  <c r="L532" i="1"/>
  <c r="L531" i="1"/>
  <c r="L530" i="1"/>
  <c r="H529" i="1"/>
  <c r="L529" i="1" s="1"/>
  <c r="H528" i="1"/>
  <c r="H527" i="1"/>
  <c r="L527" i="1" s="1"/>
  <c r="H526" i="1"/>
  <c r="L526" i="1" s="1"/>
  <c r="L525" i="1"/>
  <c r="L524" i="1"/>
  <c r="L523" i="1"/>
  <c r="L522" i="1"/>
  <c r="L521" i="1"/>
  <c r="L520" i="1"/>
  <c r="L519" i="1"/>
  <c r="H516" i="1"/>
  <c r="L516" i="1" s="1"/>
  <c r="L515" i="1"/>
  <c r="L514" i="1"/>
  <c r="L513" i="1"/>
  <c r="L512" i="1"/>
  <c r="L511" i="1"/>
  <c r="L510" i="1"/>
  <c r="L509" i="1"/>
  <c r="L506" i="1"/>
  <c r="L505" i="1"/>
  <c r="L504" i="1"/>
  <c r="L503" i="1"/>
  <c r="L502" i="1"/>
  <c r="H501" i="1"/>
  <c r="L501" i="1" s="1"/>
  <c r="H500" i="1"/>
  <c r="L500" i="1" s="1"/>
  <c r="H499" i="1"/>
  <c r="L499" i="1" s="1"/>
  <c r="H498" i="1"/>
  <c r="L498" i="1" s="1"/>
  <c r="H497" i="1"/>
  <c r="L497" i="1" s="1"/>
  <c r="H496" i="1"/>
  <c r="L496" i="1" s="1"/>
  <c r="L495" i="1"/>
  <c r="L494" i="1"/>
  <c r="L493" i="1"/>
  <c r="L492" i="1"/>
  <c r="L491" i="1"/>
  <c r="L490" i="1"/>
  <c r="L489" i="1"/>
  <c r="L486" i="1"/>
  <c r="L485" i="1"/>
  <c r="L484" i="1"/>
  <c r="H483" i="1"/>
  <c r="L483" i="1" s="1"/>
  <c r="H482" i="1"/>
  <c r="L482" i="1" s="1"/>
  <c r="H481" i="1"/>
  <c r="L481" i="1"/>
  <c r="H480" i="1"/>
  <c r="L480" i="1" s="1"/>
  <c r="L479" i="1"/>
  <c r="L478" i="1"/>
  <c r="L477" i="1"/>
  <c r="L476" i="1"/>
  <c r="L475" i="1"/>
  <c r="L474" i="1"/>
  <c r="L473" i="1"/>
  <c r="L470" i="1"/>
  <c r="L469" i="1"/>
  <c r="L468" i="1"/>
  <c r="L467" i="1"/>
  <c r="L466" i="1"/>
  <c r="L465" i="1"/>
  <c r="L464" i="1"/>
  <c r="H463" i="1"/>
  <c r="L463" i="1" s="1"/>
  <c r="H462" i="1"/>
  <c r="L462" i="1"/>
  <c r="H461" i="1"/>
  <c r="L461" i="1" s="1"/>
  <c r="H460" i="1"/>
  <c r="L460" i="1" s="1"/>
  <c r="H459" i="1"/>
  <c r="L459" i="1" s="1"/>
  <c r="H458" i="1"/>
  <c r="L458" i="1" s="1"/>
  <c r="H457" i="1"/>
  <c r="L457" i="1" s="1"/>
  <c r="H456" i="1"/>
  <c r="L456" i="1" s="1"/>
  <c r="H455" i="1"/>
  <c r="L455" i="1"/>
  <c r="H454" i="1"/>
  <c r="L454" i="1" s="1"/>
  <c r="L453" i="1"/>
  <c r="L452" i="1"/>
  <c r="H451" i="1"/>
  <c r="L451" i="1" s="1"/>
  <c r="L450" i="1"/>
  <c r="L449" i="1"/>
  <c r="H448" i="1"/>
  <c r="L448" i="1" s="1"/>
  <c r="L447" i="1"/>
  <c r="L446" i="1"/>
  <c r="H445" i="1"/>
  <c r="L445" i="1" s="1"/>
  <c r="L444" i="1"/>
  <c r="L443" i="1"/>
  <c r="H442" i="1"/>
  <c r="L442" i="1" s="1"/>
  <c r="L441" i="1"/>
  <c r="L440" i="1"/>
  <c r="H439" i="1"/>
  <c r="L439" i="1" s="1"/>
  <c r="L438" i="1"/>
  <c r="L437" i="1"/>
  <c r="H436" i="1"/>
  <c r="L436" i="1" s="1"/>
  <c r="L435" i="1"/>
  <c r="L434" i="1"/>
  <c r="I431" i="1"/>
  <c r="H431" i="1" s="1"/>
  <c r="L431" i="1" s="1"/>
  <c r="L430" i="1"/>
  <c r="L429" i="1"/>
  <c r="L428" i="1"/>
  <c r="L427" i="1"/>
  <c r="H426" i="1"/>
  <c r="L426" i="1" s="1"/>
  <c r="H425" i="1"/>
  <c r="L425" i="1" s="1"/>
  <c r="H424" i="1"/>
  <c r="L424" i="1" s="1"/>
  <c r="H423" i="1"/>
  <c r="L423" i="1" s="1"/>
  <c r="L422" i="1"/>
  <c r="L421" i="1"/>
  <c r="L420" i="1"/>
  <c r="L419" i="1"/>
  <c r="L418" i="1"/>
  <c r="L417" i="1"/>
  <c r="L416" i="1"/>
  <c r="L413" i="1"/>
  <c r="L412" i="1"/>
  <c r="L411" i="1"/>
  <c r="L410" i="1"/>
  <c r="L409" i="1"/>
  <c r="H408" i="1"/>
  <c r="L408" i="1" s="1"/>
  <c r="H407" i="1"/>
  <c r="L407" i="1" s="1"/>
  <c r="H406" i="1"/>
  <c r="L406" i="1" s="1"/>
  <c r="H405" i="1"/>
  <c r="L405" i="1" s="1"/>
  <c r="H404" i="1"/>
  <c r="L404" i="1" s="1"/>
  <c r="H403" i="1"/>
  <c r="H402" i="1"/>
  <c r="L402" i="1" s="1"/>
  <c r="H401" i="1"/>
  <c r="L401" i="1" s="1"/>
  <c r="H400" i="1"/>
  <c r="L400" i="1" s="1"/>
  <c r="L399" i="1"/>
  <c r="L398" i="1"/>
  <c r="L397" i="1"/>
  <c r="L396" i="1"/>
  <c r="L395" i="1"/>
  <c r="L394" i="1"/>
  <c r="L393" i="1"/>
  <c r="L390" i="1"/>
  <c r="L389" i="1"/>
  <c r="L388" i="1"/>
  <c r="H387" i="1"/>
  <c r="L387" i="1" s="1"/>
  <c r="H386" i="1"/>
  <c r="L386" i="1"/>
  <c r="H385" i="1"/>
  <c r="L385" i="1" s="1"/>
  <c r="H384" i="1"/>
  <c r="L384" i="1" s="1"/>
  <c r="H383" i="1"/>
  <c r="L383" i="1" s="1"/>
  <c r="H382" i="1"/>
  <c r="L382" i="1" s="1"/>
  <c r="L381" i="1"/>
  <c r="L380" i="1"/>
  <c r="L379" i="1"/>
  <c r="L378" i="1"/>
  <c r="L377" i="1"/>
  <c r="L376" i="1"/>
  <c r="L375" i="1"/>
  <c r="L372" i="1"/>
  <c r="L371" i="1"/>
  <c r="L370" i="1"/>
  <c r="H369" i="1"/>
  <c r="L369" i="1" s="1"/>
  <c r="H368" i="1"/>
  <c r="L368" i="1" s="1"/>
  <c r="H367" i="1"/>
  <c r="L367" i="1" s="1"/>
  <c r="H366" i="1"/>
  <c r="H365" i="1"/>
  <c r="H364" i="1"/>
  <c r="L364" i="1" s="1"/>
  <c r="L363" i="1"/>
  <c r="L362" i="1"/>
  <c r="L361" i="1"/>
  <c r="L360" i="1"/>
  <c r="L359" i="1"/>
  <c r="L358" i="1"/>
  <c r="L357" i="1"/>
  <c r="L354" i="1"/>
  <c r="L353" i="1"/>
  <c r="L352" i="1"/>
  <c r="L351" i="1"/>
  <c r="L350" i="1"/>
  <c r="L349" i="1"/>
  <c r="L346" i="1"/>
  <c r="L344" i="1"/>
  <c r="L343" i="1"/>
  <c r="L342" i="1"/>
  <c r="L341" i="1"/>
  <c r="L340" i="1"/>
  <c r="L339" i="1"/>
  <c r="L338" i="1"/>
  <c r="L337" i="1"/>
  <c r="L334" i="1"/>
  <c r="L333" i="1"/>
  <c r="L332" i="1"/>
  <c r="L331" i="1"/>
  <c r="L330" i="1"/>
  <c r="H329" i="1"/>
  <c r="L329" i="1" s="1"/>
  <c r="H328" i="1"/>
  <c r="L328" i="1" s="1"/>
  <c r="H327" i="1"/>
  <c r="L327" i="1" s="1"/>
  <c r="H326" i="1"/>
  <c r="L326" i="1" s="1"/>
  <c r="H325" i="1"/>
  <c r="L325" i="1" s="1"/>
  <c r="H324" i="1"/>
  <c r="L324" i="1" s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H309" i="1"/>
  <c r="L309" i="1"/>
  <c r="H308" i="1"/>
  <c r="L308" i="1" s="1"/>
  <c r="H307" i="1"/>
  <c r="H306" i="1"/>
  <c r="L306" i="1" s="1"/>
  <c r="H305" i="1"/>
  <c r="L305" i="1" s="1"/>
  <c r="H304" i="1"/>
  <c r="L304" i="1" s="1"/>
  <c r="H303" i="1"/>
  <c r="L303" i="1" s="1"/>
  <c r="H302" i="1"/>
  <c r="L302" i="1" s="1"/>
  <c r="H301" i="1"/>
  <c r="L301" i="1" s="1"/>
  <c r="L300" i="1"/>
  <c r="L299" i="1"/>
  <c r="L298" i="1"/>
  <c r="L297" i="1"/>
  <c r="L296" i="1"/>
  <c r="L295" i="1"/>
  <c r="L294" i="1"/>
  <c r="L291" i="1"/>
  <c r="L290" i="1"/>
  <c r="L289" i="1"/>
  <c r="L288" i="1"/>
  <c r="L287" i="1"/>
  <c r="H286" i="1"/>
  <c r="L286" i="1" s="1"/>
  <c r="H285" i="1"/>
  <c r="L285" i="1"/>
  <c r="H284" i="1"/>
  <c r="L284" i="1" s="1"/>
  <c r="H283" i="1"/>
  <c r="L283" i="1" s="1"/>
  <c r="H282" i="1"/>
  <c r="L282" i="1" s="1"/>
  <c r="H281" i="1"/>
  <c r="L281" i="1"/>
  <c r="H280" i="1"/>
  <c r="L280" i="1" s="1"/>
  <c r="H279" i="1"/>
  <c r="L279" i="1" s="1"/>
  <c r="H278" i="1"/>
  <c r="L278" i="1" s="1"/>
  <c r="L277" i="1"/>
  <c r="L276" i="1"/>
  <c r="L275" i="1"/>
  <c r="L274" i="1"/>
  <c r="L273" i="1"/>
  <c r="L272" i="1"/>
  <c r="L271" i="1"/>
  <c r="L267" i="1"/>
  <c r="L266" i="1"/>
  <c r="L265" i="1"/>
  <c r="L264" i="1"/>
  <c r="L263" i="1"/>
  <c r="L262" i="1"/>
  <c r="H261" i="1"/>
  <c r="L261" i="1" s="1"/>
  <c r="H260" i="1"/>
  <c r="L260" i="1" s="1"/>
  <c r="H259" i="1"/>
  <c r="L259" i="1" s="1"/>
  <c r="H258" i="1"/>
  <c r="H257" i="1"/>
  <c r="L257" i="1" s="1"/>
  <c r="H256" i="1"/>
  <c r="L256" i="1" s="1"/>
  <c r="H255" i="1"/>
  <c r="L255" i="1" s="1"/>
  <c r="L254" i="1"/>
  <c r="L253" i="1"/>
  <c r="H252" i="1"/>
  <c r="L252" i="1" s="1"/>
  <c r="L251" i="1"/>
  <c r="L250" i="1"/>
  <c r="H249" i="1"/>
  <c r="L249" i="1" s="1"/>
  <c r="L248" i="1"/>
  <c r="L247" i="1"/>
  <c r="H246" i="1"/>
  <c r="L246" i="1" s="1"/>
  <c r="L245" i="1"/>
  <c r="L244" i="1"/>
  <c r="H243" i="1"/>
  <c r="L243" i="1" s="1"/>
  <c r="L242" i="1"/>
  <c r="L241" i="1"/>
  <c r="H240" i="1"/>
  <c r="L240" i="1" s="1"/>
  <c r="L239" i="1"/>
  <c r="L238" i="1"/>
  <c r="H237" i="1"/>
  <c r="L237" i="1" s="1"/>
  <c r="L236" i="1"/>
  <c r="L235" i="1"/>
  <c r="L231" i="1"/>
  <c r="L230" i="1"/>
  <c r="L229" i="1"/>
  <c r="L228" i="1"/>
  <c r="L227" i="1"/>
  <c r="L226" i="1"/>
  <c r="H225" i="1"/>
  <c r="L225" i="1" s="1"/>
  <c r="H224" i="1"/>
  <c r="L224" i="1" s="1"/>
  <c r="H223" i="1"/>
  <c r="L223" i="1" s="1"/>
  <c r="H222" i="1"/>
  <c r="L222" i="1" s="1"/>
  <c r="H221" i="1"/>
  <c r="L221" i="1" s="1"/>
  <c r="H220" i="1"/>
  <c r="L220" i="1" s="1"/>
  <c r="H219" i="1"/>
  <c r="L219" i="1" s="1"/>
  <c r="L218" i="1"/>
  <c r="L217" i="1"/>
  <c r="H216" i="1"/>
  <c r="L216" i="1" s="1"/>
  <c r="L215" i="1"/>
  <c r="L214" i="1"/>
  <c r="H213" i="1"/>
  <c r="L213" i="1" s="1"/>
  <c r="L212" i="1"/>
  <c r="L211" i="1"/>
  <c r="H210" i="1"/>
  <c r="L210" i="1" s="1"/>
  <c r="L209" i="1"/>
  <c r="L208" i="1"/>
  <c r="H207" i="1"/>
  <c r="L207" i="1" s="1"/>
  <c r="L206" i="1"/>
  <c r="L205" i="1"/>
  <c r="H204" i="1"/>
  <c r="L204" i="1" s="1"/>
  <c r="L203" i="1"/>
  <c r="L202" i="1"/>
  <c r="H201" i="1"/>
  <c r="L201" i="1" s="1"/>
  <c r="L200" i="1"/>
  <c r="L199" i="1"/>
  <c r="L196" i="1"/>
  <c r="L195" i="1"/>
  <c r="L194" i="1"/>
  <c r="L193" i="1"/>
  <c r="H192" i="1"/>
  <c r="L192" i="1" s="1"/>
  <c r="L191" i="1"/>
  <c r="L190" i="1"/>
  <c r="L189" i="1"/>
  <c r="H188" i="1"/>
  <c r="L188" i="1" s="1"/>
  <c r="H187" i="1"/>
  <c r="L187" i="1" s="1"/>
  <c r="H186" i="1"/>
  <c r="L186" i="1" s="1"/>
  <c r="H185" i="1"/>
  <c r="L185" i="1" s="1"/>
  <c r="H184" i="1"/>
  <c r="L184" i="1" s="1"/>
  <c r="H183" i="1"/>
  <c r="L183" i="1" s="1"/>
  <c r="H182" i="1"/>
  <c r="L182" i="1" s="1"/>
  <c r="H181" i="1"/>
  <c r="L181" i="1" s="1"/>
  <c r="H180" i="1"/>
  <c r="L180" i="1" s="1"/>
  <c r="H179" i="1"/>
  <c r="L179" i="1" s="1"/>
  <c r="L178" i="1"/>
  <c r="L177" i="1"/>
  <c r="L176" i="1"/>
  <c r="H175" i="1"/>
  <c r="L175" i="1" s="1"/>
  <c r="L174" i="1"/>
  <c r="L173" i="1"/>
  <c r="L172" i="1"/>
  <c r="H171" i="1"/>
  <c r="L171" i="1" s="1"/>
  <c r="L170" i="1"/>
  <c r="L169" i="1"/>
  <c r="L168" i="1"/>
  <c r="H167" i="1"/>
  <c r="L167" i="1" s="1"/>
  <c r="L166" i="1"/>
  <c r="L165" i="1"/>
  <c r="L164" i="1"/>
  <c r="H163" i="1"/>
  <c r="L163" i="1" s="1"/>
  <c r="L162" i="1"/>
  <c r="L161" i="1"/>
  <c r="L160" i="1"/>
  <c r="H159" i="1"/>
  <c r="L159" i="1" s="1"/>
  <c r="L158" i="1"/>
  <c r="L157" i="1"/>
  <c r="L156" i="1"/>
  <c r="H155" i="1"/>
  <c r="L155" i="1" s="1"/>
  <c r="L154" i="1"/>
  <c r="L153" i="1"/>
  <c r="L152" i="1"/>
  <c r="L149" i="1"/>
  <c r="L148" i="1"/>
  <c r="L147" i="1"/>
  <c r="L146" i="1"/>
  <c r="H145" i="1"/>
  <c r="L145" i="1" s="1"/>
  <c r="H142" i="1"/>
  <c r="L142" i="1" s="1"/>
  <c r="H143" i="1"/>
  <c r="H139" i="1"/>
  <c r="L139" i="1" s="1"/>
  <c r="H140" i="1"/>
  <c r="L140" i="1" s="1"/>
  <c r="H138" i="1"/>
  <c r="L138" i="1" s="1"/>
  <c r="H135" i="1"/>
  <c r="H137" i="1" s="1"/>
  <c r="L137" i="1" s="1"/>
  <c r="H136" i="1"/>
  <c r="L136" i="1"/>
  <c r="H132" i="1"/>
  <c r="H133" i="1"/>
  <c r="L133" i="1" s="1"/>
  <c r="L132" i="1"/>
  <c r="H131" i="1"/>
  <c r="L131" i="1" s="1"/>
  <c r="H130" i="1"/>
  <c r="L130" i="1" s="1"/>
  <c r="L129" i="1"/>
  <c r="L128" i="1"/>
  <c r="H127" i="1"/>
  <c r="L127" i="1" s="1"/>
  <c r="L126" i="1"/>
  <c r="L125" i="1"/>
  <c r="H124" i="1"/>
  <c r="L124" i="1" s="1"/>
  <c r="L123" i="1"/>
  <c r="L122" i="1"/>
  <c r="H121" i="1"/>
  <c r="L121" i="1" s="1"/>
  <c r="L120" i="1"/>
  <c r="L119" i="1"/>
  <c r="H118" i="1"/>
  <c r="L118" i="1" s="1"/>
  <c r="L117" i="1"/>
  <c r="L116" i="1"/>
  <c r="L115" i="1"/>
  <c r="H114" i="1"/>
  <c r="L114" i="1" s="1"/>
  <c r="L113" i="1"/>
  <c r="L112" i="1"/>
  <c r="L109" i="1"/>
  <c r="L108" i="1"/>
  <c r="L107" i="1"/>
  <c r="L106" i="1"/>
  <c r="L105" i="1"/>
  <c r="H104" i="1"/>
  <c r="L104" i="1" s="1"/>
  <c r="H103" i="1"/>
  <c r="L103" i="1" s="1"/>
  <c r="H102" i="1"/>
  <c r="L102" i="1" s="1"/>
  <c r="H101" i="1"/>
  <c r="L101" i="1" s="1"/>
  <c r="H100" i="1"/>
  <c r="L100" i="1"/>
  <c r="H99" i="1"/>
  <c r="L99" i="1" s="1"/>
  <c r="L98" i="1"/>
  <c r="L97" i="1"/>
  <c r="L96" i="1"/>
  <c r="L95" i="1"/>
  <c r="L94" i="1"/>
  <c r="L93" i="1"/>
  <c r="L92" i="1"/>
  <c r="L88" i="1"/>
  <c r="L87" i="1"/>
  <c r="L86" i="1"/>
  <c r="L85" i="1"/>
  <c r="L84" i="1"/>
  <c r="L83" i="1"/>
  <c r="H82" i="1"/>
  <c r="L82" i="1" s="1"/>
  <c r="H81" i="1"/>
  <c r="L81" i="1" s="1"/>
  <c r="H80" i="1"/>
  <c r="L80" i="1" s="1"/>
  <c r="H79" i="1"/>
  <c r="L79" i="1"/>
  <c r="H78" i="1"/>
  <c r="L78" i="1" s="1"/>
  <c r="H77" i="1"/>
  <c r="L77" i="1" s="1"/>
  <c r="L76" i="1"/>
  <c r="H75" i="1"/>
  <c r="L75" i="1" s="1"/>
  <c r="L74" i="1"/>
  <c r="L73" i="1"/>
  <c r="H72" i="1"/>
  <c r="L72" i="1" s="1"/>
  <c r="L71" i="1"/>
  <c r="L70" i="1"/>
  <c r="H69" i="1"/>
  <c r="L69" i="1" s="1"/>
  <c r="L68" i="1"/>
  <c r="L67" i="1"/>
  <c r="H66" i="1"/>
  <c r="L66" i="1" s="1"/>
  <c r="L65" i="1"/>
  <c r="L64" i="1"/>
  <c r="H63" i="1"/>
  <c r="L62" i="1"/>
  <c r="L61" i="1"/>
  <c r="H60" i="1"/>
  <c r="L60" i="1" s="1"/>
  <c r="L59" i="1"/>
  <c r="L58" i="1"/>
  <c r="L54" i="1"/>
  <c r="L53" i="1"/>
  <c r="L52" i="1"/>
  <c r="L51" i="1"/>
  <c r="L50" i="1"/>
  <c r="L49" i="1"/>
  <c r="L48" i="1"/>
  <c r="H47" i="1"/>
  <c r="H46" i="1"/>
  <c r="L46" i="1" s="1"/>
  <c r="H45" i="1"/>
  <c r="L45" i="1" s="1"/>
  <c r="H44" i="1"/>
  <c r="L44" i="1" s="1"/>
  <c r="H43" i="1"/>
  <c r="H42" i="1"/>
  <c r="L42" i="1" s="1"/>
  <c r="H41" i="1"/>
  <c r="L41" i="1" s="1"/>
  <c r="L40" i="1"/>
  <c r="L39" i="1"/>
  <c r="L38" i="1"/>
  <c r="H37" i="1"/>
  <c r="L37" i="1" s="1"/>
  <c r="L36" i="1"/>
  <c r="L35" i="1"/>
  <c r="L34" i="1"/>
  <c r="H33" i="1"/>
  <c r="L33" i="1" s="1"/>
  <c r="L32" i="1"/>
  <c r="L31" i="1"/>
  <c r="L30" i="1"/>
  <c r="H29" i="1"/>
  <c r="L29" i="1" s="1"/>
  <c r="L28" i="1"/>
  <c r="L27" i="1"/>
  <c r="L26" i="1"/>
  <c r="H25" i="1"/>
  <c r="L24" i="1"/>
  <c r="L23" i="1"/>
  <c r="L22" i="1"/>
  <c r="H21" i="1"/>
  <c r="L21" i="1" s="1"/>
  <c r="L20" i="1"/>
  <c r="L19" i="1"/>
  <c r="L18" i="1"/>
  <c r="H17" i="1"/>
  <c r="L16" i="1"/>
  <c r="L15" i="1"/>
  <c r="L14" i="1"/>
  <c r="L5" i="1"/>
  <c r="L6" i="1"/>
  <c r="L7" i="1"/>
  <c r="L8" i="1"/>
  <c r="L9" i="1"/>
  <c r="L10" i="1"/>
  <c r="L11" i="1"/>
  <c r="L4" i="1"/>
  <c r="K613" i="1"/>
  <c r="K614" i="1"/>
  <c r="K615" i="1"/>
  <c r="K608" i="1"/>
  <c r="M608" i="1"/>
  <c r="K609" i="1"/>
  <c r="M609" i="1"/>
  <c r="K610" i="1"/>
  <c r="M610" i="1"/>
  <c r="K611" i="1"/>
  <c r="M611" i="1"/>
  <c r="K612" i="1"/>
  <c r="M612" i="1"/>
  <c r="M607" i="1"/>
  <c r="K607" i="1"/>
  <c r="K604" i="1"/>
  <c r="K599" i="1"/>
  <c r="M599" i="1"/>
  <c r="K600" i="1"/>
  <c r="M600" i="1"/>
  <c r="K601" i="1"/>
  <c r="M601" i="1"/>
  <c r="K602" i="1"/>
  <c r="M602" i="1"/>
  <c r="K603" i="1"/>
  <c r="M603" i="1"/>
  <c r="M598" i="1"/>
  <c r="K598" i="1"/>
  <c r="K589" i="1"/>
  <c r="M589" i="1"/>
  <c r="K590" i="1"/>
  <c r="M590" i="1"/>
  <c r="K591" i="1"/>
  <c r="M591" i="1"/>
  <c r="K592" i="1"/>
  <c r="M592" i="1"/>
  <c r="K593" i="1"/>
  <c r="M593" i="1"/>
  <c r="M594" i="1"/>
  <c r="K595" i="1"/>
  <c r="M588" i="1"/>
  <c r="K588" i="1"/>
  <c r="I516" i="1"/>
  <c r="K516" i="1" s="1"/>
  <c r="M515" i="1"/>
  <c r="K515" i="1"/>
  <c r="M514" i="1"/>
  <c r="K514" i="1"/>
  <c r="M513" i="1"/>
  <c r="K513" i="1"/>
  <c r="M512" i="1"/>
  <c r="K512" i="1"/>
  <c r="M511" i="1"/>
  <c r="K511" i="1"/>
  <c r="M510" i="1"/>
  <c r="K510" i="1"/>
  <c r="M509" i="1"/>
  <c r="K509" i="1"/>
  <c r="N364" i="1"/>
  <c r="N367" i="1"/>
  <c r="N368" i="1"/>
  <c r="M571" i="1"/>
  <c r="M572" i="1"/>
  <c r="M573" i="1"/>
  <c r="M574" i="1"/>
  <c r="M575" i="1"/>
  <c r="M576" i="1"/>
  <c r="G577" i="1"/>
  <c r="M577" i="1" s="1"/>
  <c r="G578" i="1"/>
  <c r="M578" i="1"/>
  <c r="G579" i="1"/>
  <c r="M579" i="1" s="1"/>
  <c r="G580" i="1"/>
  <c r="M580" i="1" s="1"/>
  <c r="M581" i="1"/>
  <c r="M582" i="1"/>
  <c r="M583" i="1"/>
  <c r="M584" i="1"/>
  <c r="M570" i="1"/>
  <c r="M548" i="1"/>
  <c r="M549" i="1"/>
  <c r="M550" i="1"/>
  <c r="M551" i="1"/>
  <c r="M552" i="1"/>
  <c r="M553" i="1"/>
  <c r="G557" i="1"/>
  <c r="M557" i="1" s="1"/>
  <c r="G558" i="1"/>
  <c r="M558" i="1" s="1"/>
  <c r="G559" i="1"/>
  <c r="M559" i="1" s="1"/>
  <c r="G560" i="1"/>
  <c r="M560" i="1" s="1"/>
  <c r="G561" i="1"/>
  <c r="M561" i="1" s="1"/>
  <c r="G562" i="1"/>
  <c r="M562" i="1" s="1"/>
  <c r="M563" i="1"/>
  <c r="M564" i="1"/>
  <c r="M565" i="1"/>
  <c r="M566" i="1"/>
  <c r="M547" i="1"/>
  <c r="M538" i="1"/>
  <c r="M539" i="1"/>
  <c r="M540" i="1"/>
  <c r="M541" i="1"/>
  <c r="M542" i="1"/>
  <c r="M543" i="1"/>
  <c r="M537" i="1"/>
  <c r="M520" i="1"/>
  <c r="M521" i="1"/>
  <c r="M522" i="1"/>
  <c r="M523" i="1"/>
  <c r="M524" i="1"/>
  <c r="M525" i="1"/>
  <c r="G526" i="1"/>
  <c r="M526" i="1" s="1"/>
  <c r="G527" i="1"/>
  <c r="M527" i="1" s="1"/>
  <c r="G528" i="1"/>
  <c r="M528" i="1" s="1"/>
  <c r="G529" i="1"/>
  <c r="M529" i="1" s="1"/>
  <c r="M530" i="1"/>
  <c r="M531" i="1"/>
  <c r="M532" i="1"/>
  <c r="M533" i="1"/>
  <c r="M519" i="1"/>
  <c r="M490" i="1"/>
  <c r="M491" i="1"/>
  <c r="M492" i="1"/>
  <c r="M493" i="1"/>
  <c r="M494" i="1"/>
  <c r="M495" i="1"/>
  <c r="G496" i="1"/>
  <c r="M496" i="1" s="1"/>
  <c r="G497" i="1"/>
  <c r="M497" i="1" s="1"/>
  <c r="G498" i="1"/>
  <c r="M498" i="1" s="1"/>
  <c r="G499" i="1"/>
  <c r="M499" i="1" s="1"/>
  <c r="G500" i="1"/>
  <c r="M500" i="1" s="1"/>
  <c r="G501" i="1"/>
  <c r="M501" i="1" s="1"/>
  <c r="M502" i="1"/>
  <c r="M503" i="1"/>
  <c r="M504" i="1"/>
  <c r="M505" i="1"/>
  <c r="M489" i="1"/>
  <c r="M474" i="1"/>
  <c r="M475" i="1"/>
  <c r="M476" i="1"/>
  <c r="M477" i="1"/>
  <c r="M478" i="1"/>
  <c r="M479" i="1"/>
  <c r="G480" i="1"/>
  <c r="M480" i="1" s="1"/>
  <c r="G481" i="1"/>
  <c r="M481" i="1" s="1"/>
  <c r="G482" i="1"/>
  <c r="M482" i="1" s="1"/>
  <c r="G483" i="1"/>
  <c r="M483" i="1" s="1"/>
  <c r="M484" i="1"/>
  <c r="M485" i="1"/>
  <c r="M473" i="1"/>
  <c r="G459" i="1"/>
  <c r="M459" i="1" s="1"/>
  <c r="G460" i="1"/>
  <c r="M460" i="1" s="1"/>
  <c r="G461" i="1"/>
  <c r="M461" i="1" s="1"/>
  <c r="G462" i="1"/>
  <c r="M462" i="1" s="1"/>
  <c r="G463" i="1"/>
  <c r="M463" i="1"/>
  <c r="M464" i="1"/>
  <c r="M465" i="1"/>
  <c r="M466" i="1"/>
  <c r="M467" i="1"/>
  <c r="G458" i="1"/>
  <c r="M458" i="1" s="1"/>
  <c r="M437" i="1"/>
  <c r="M438" i="1"/>
  <c r="G439" i="1"/>
  <c r="M439" i="1" s="1"/>
  <c r="M440" i="1"/>
  <c r="M441" i="1"/>
  <c r="G442" i="1"/>
  <c r="M442" i="1" s="1"/>
  <c r="M443" i="1"/>
  <c r="M444" i="1"/>
  <c r="G445" i="1"/>
  <c r="M445" i="1" s="1"/>
  <c r="M446" i="1"/>
  <c r="M447" i="1"/>
  <c r="G448" i="1"/>
  <c r="M448" i="1" s="1"/>
  <c r="M449" i="1"/>
  <c r="M450" i="1"/>
  <c r="G451" i="1"/>
  <c r="M451" i="1" s="1"/>
  <c r="M452" i="1"/>
  <c r="M453" i="1"/>
  <c r="G454" i="1"/>
  <c r="M454" i="1" s="1"/>
  <c r="M434" i="1"/>
  <c r="M435" i="1"/>
  <c r="G436" i="1"/>
  <c r="M436" i="1" s="1"/>
  <c r="M417" i="1"/>
  <c r="M418" i="1"/>
  <c r="M419" i="1"/>
  <c r="M420" i="1"/>
  <c r="M421" i="1"/>
  <c r="M422" i="1"/>
  <c r="G423" i="1"/>
  <c r="M423" i="1" s="1"/>
  <c r="G424" i="1"/>
  <c r="M424" i="1" s="1"/>
  <c r="G425" i="1"/>
  <c r="M425" i="1" s="1"/>
  <c r="G426" i="1"/>
  <c r="M426" i="1" s="1"/>
  <c r="M427" i="1"/>
  <c r="M428" i="1"/>
  <c r="M429" i="1"/>
  <c r="M430" i="1"/>
  <c r="M416" i="1"/>
  <c r="G404" i="1"/>
  <c r="M404" i="1" s="1"/>
  <c r="G405" i="1"/>
  <c r="M405" i="1" s="1"/>
  <c r="G406" i="1"/>
  <c r="M406" i="1" s="1"/>
  <c r="G407" i="1"/>
  <c r="M407" i="1" s="1"/>
  <c r="G408" i="1"/>
  <c r="M408" i="1" s="1"/>
  <c r="M409" i="1"/>
  <c r="M410" i="1"/>
  <c r="M411" i="1"/>
  <c r="M412" i="1"/>
  <c r="G403" i="1"/>
  <c r="M403" i="1" s="1"/>
  <c r="M394" i="1"/>
  <c r="M395" i="1"/>
  <c r="M396" i="1"/>
  <c r="M397" i="1"/>
  <c r="M398" i="1"/>
  <c r="M399" i="1"/>
  <c r="M393" i="1"/>
  <c r="M376" i="1"/>
  <c r="M377" i="1"/>
  <c r="M378" i="1"/>
  <c r="M379" i="1"/>
  <c r="M380" i="1"/>
  <c r="M381" i="1"/>
  <c r="G382" i="1"/>
  <c r="M382" i="1" s="1"/>
  <c r="G383" i="1"/>
  <c r="M383" i="1" s="1"/>
  <c r="G384" i="1"/>
  <c r="M384" i="1"/>
  <c r="G385" i="1"/>
  <c r="M385" i="1" s="1"/>
  <c r="G386" i="1"/>
  <c r="M386" i="1"/>
  <c r="G387" i="1"/>
  <c r="M387" i="1" s="1"/>
  <c r="M388" i="1"/>
  <c r="M389" i="1"/>
  <c r="M375" i="1"/>
  <c r="M358" i="1"/>
  <c r="M359" i="1"/>
  <c r="M360" i="1"/>
  <c r="M361" i="1"/>
  <c r="M362" i="1"/>
  <c r="M363" i="1"/>
  <c r="G364" i="1"/>
  <c r="M364" i="1" s="1"/>
  <c r="G365" i="1"/>
  <c r="M365" i="1" s="1"/>
  <c r="G366" i="1"/>
  <c r="M366" i="1" s="1"/>
  <c r="G367" i="1"/>
  <c r="M367" i="1" s="1"/>
  <c r="G368" i="1"/>
  <c r="M368" i="1" s="1"/>
  <c r="G369" i="1"/>
  <c r="M369" i="1" s="1"/>
  <c r="M370" i="1"/>
  <c r="M371" i="1"/>
  <c r="M357" i="1"/>
  <c r="M338" i="1"/>
  <c r="M339" i="1"/>
  <c r="M340" i="1"/>
  <c r="M341" i="1"/>
  <c r="M342" i="1"/>
  <c r="M343" i="1"/>
  <c r="G344" i="1"/>
  <c r="M344" i="1" s="1"/>
  <c r="G345" i="1"/>
  <c r="M345" i="1" s="1"/>
  <c r="G346" i="1"/>
  <c r="M346" i="1" s="1"/>
  <c r="G347" i="1"/>
  <c r="M347" i="1" s="1"/>
  <c r="G348" i="1"/>
  <c r="M348" i="1" s="1"/>
  <c r="G349" i="1"/>
  <c r="M349" i="1"/>
  <c r="M350" i="1"/>
  <c r="M351" i="1"/>
  <c r="M352" i="1"/>
  <c r="M353" i="1"/>
  <c r="M337" i="1"/>
  <c r="M330" i="1"/>
  <c r="M331" i="1"/>
  <c r="M332" i="1"/>
  <c r="M333" i="1"/>
  <c r="G329" i="1"/>
  <c r="M329" i="1" s="1"/>
  <c r="G328" i="1"/>
  <c r="M328" i="1" s="1"/>
  <c r="G326" i="1"/>
  <c r="M326" i="1" s="1"/>
  <c r="G325" i="1"/>
  <c r="M325" i="1" s="1"/>
  <c r="M323" i="1"/>
  <c r="M318" i="1"/>
  <c r="M319" i="1"/>
  <c r="M320" i="1"/>
  <c r="M321" i="1"/>
  <c r="M322" i="1"/>
  <c r="M317" i="1"/>
  <c r="G305" i="1"/>
  <c r="M305" i="1" s="1"/>
  <c r="G306" i="1"/>
  <c r="M306" i="1" s="1"/>
  <c r="G307" i="1"/>
  <c r="M307" i="1" s="1"/>
  <c r="G308" i="1"/>
  <c r="M308" i="1" s="1"/>
  <c r="G309" i="1"/>
  <c r="M309" i="1" s="1"/>
  <c r="M310" i="1"/>
  <c r="M311" i="1"/>
  <c r="M312" i="1"/>
  <c r="M313" i="1"/>
  <c r="G304" i="1"/>
  <c r="M304" i="1" s="1"/>
  <c r="M295" i="1"/>
  <c r="M296" i="1"/>
  <c r="M297" i="1"/>
  <c r="M298" i="1"/>
  <c r="M299" i="1"/>
  <c r="M300" i="1"/>
  <c r="M294" i="1"/>
  <c r="M272" i="1"/>
  <c r="M273" i="1"/>
  <c r="M274" i="1"/>
  <c r="M275" i="1"/>
  <c r="M276" i="1"/>
  <c r="M277" i="1"/>
  <c r="G282" i="1"/>
  <c r="M282" i="1" s="1"/>
  <c r="G283" i="1"/>
  <c r="M283" i="1" s="1"/>
  <c r="G285" i="1"/>
  <c r="M285" i="1" s="1"/>
  <c r="G286" i="1"/>
  <c r="M286" i="1" s="1"/>
  <c r="M287" i="1"/>
  <c r="M288" i="1"/>
  <c r="M289" i="1"/>
  <c r="M290" i="1"/>
  <c r="M271" i="1"/>
  <c r="M238" i="1"/>
  <c r="M239" i="1"/>
  <c r="G240" i="1"/>
  <c r="M240" i="1" s="1"/>
  <c r="M241" i="1"/>
  <c r="M242" i="1"/>
  <c r="G243" i="1"/>
  <c r="M243" i="1" s="1"/>
  <c r="M244" i="1"/>
  <c r="M245" i="1"/>
  <c r="G246" i="1"/>
  <c r="M246" i="1" s="1"/>
  <c r="M247" i="1"/>
  <c r="M248" i="1"/>
  <c r="G249" i="1"/>
  <c r="M249" i="1" s="1"/>
  <c r="M250" i="1"/>
  <c r="M251" i="1"/>
  <c r="G252" i="1"/>
  <c r="M252" i="1" s="1"/>
  <c r="M253" i="1"/>
  <c r="M254" i="1"/>
  <c r="G255" i="1"/>
  <c r="M255" i="1"/>
  <c r="G257" i="1"/>
  <c r="M257" i="1" s="1"/>
  <c r="G258" i="1"/>
  <c r="M258" i="1" s="1"/>
  <c r="G260" i="1"/>
  <c r="M260" i="1" s="1"/>
  <c r="G261" i="1"/>
  <c r="M261" i="1" s="1"/>
  <c r="M262" i="1"/>
  <c r="M263" i="1"/>
  <c r="M264" i="1"/>
  <c r="M265" i="1"/>
  <c r="M235" i="1"/>
  <c r="M236" i="1"/>
  <c r="G237" i="1"/>
  <c r="M237" i="1" s="1"/>
  <c r="M58" i="1"/>
  <c r="I201" i="1"/>
  <c r="I204" i="1"/>
  <c r="I207" i="1"/>
  <c r="I210" i="1"/>
  <c r="I213" i="1"/>
  <c r="I216" i="1"/>
  <c r="I219" i="1"/>
  <c r="G220" i="1"/>
  <c r="M220" i="1" s="1"/>
  <c r="G221" i="1"/>
  <c r="M221" i="1" s="1"/>
  <c r="G222" i="1"/>
  <c r="M222" i="1" s="1"/>
  <c r="G223" i="1"/>
  <c r="M223" i="1"/>
  <c r="G224" i="1"/>
  <c r="M224" i="1"/>
  <c r="G225" i="1"/>
  <c r="M225" i="1" s="1"/>
  <c r="M226" i="1"/>
  <c r="M227" i="1"/>
  <c r="M228" i="1"/>
  <c r="M229" i="1"/>
  <c r="M199" i="1"/>
  <c r="M200" i="1"/>
  <c r="M202" i="1"/>
  <c r="M203" i="1"/>
  <c r="G204" i="1"/>
  <c r="M204" i="1" s="1"/>
  <c r="M205" i="1"/>
  <c r="M206" i="1"/>
  <c r="G207" i="1"/>
  <c r="M207" i="1" s="1"/>
  <c r="M208" i="1"/>
  <c r="M209" i="1"/>
  <c r="G210" i="1"/>
  <c r="M210" i="1" s="1"/>
  <c r="M211" i="1"/>
  <c r="M212" i="1"/>
  <c r="G213" i="1"/>
  <c r="M213" i="1" s="1"/>
  <c r="M214" i="1"/>
  <c r="M215" i="1"/>
  <c r="G216" i="1"/>
  <c r="M216" i="1" s="1"/>
  <c r="M217" i="1"/>
  <c r="M218" i="1"/>
  <c r="G219" i="1"/>
  <c r="M219" i="1" s="1"/>
  <c r="G201" i="1"/>
  <c r="M201" i="1" s="1"/>
  <c r="M153" i="1"/>
  <c r="M154" i="1"/>
  <c r="G155" i="1"/>
  <c r="M155" i="1" s="1"/>
  <c r="M156" i="1"/>
  <c r="M157" i="1"/>
  <c r="M158" i="1"/>
  <c r="G159" i="1"/>
  <c r="M159" i="1" s="1"/>
  <c r="M160" i="1"/>
  <c r="M161" i="1"/>
  <c r="M162" i="1"/>
  <c r="G163" i="1"/>
  <c r="M163" i="1"/>
  <c r="M164" i="1"/>
  <c r="M165" i="1"/>
  <c r="M166" i="1"/>
  <c r="G167" i="1"/>
  <c r="M167" i="1" s="1"/>
  <c r="M168" i="1"/>
  <c r="M169" i="1"/>
  <c r="M170" i="1"/>
  <c r="G171" i="1"/>
  <c r="M171" i="1" s="1"/>
  <c r="M172" i="1"/>
  <c r="M173" i="1"/>
  <c r="M174" i="1"/>
  <c r="G175" i="1"/>
  <c r="M175" i="1" s="1"/>
  <c r="M176" i="1"/>
  <c r="M177" i="1"/>
  <c r="M178" i="1"/>
  <c r="G179" i="1"/>
  <c r="M179" i="1" s="1"/>
  <c r="G183" i="1"/>
  <c r="M183" i="1"/>
  <c r="G184" i="1"/>
  <c r="M184" i="1"/>
  <c r="G185" i="1"/>
  <c r="M185" i="1"/>
  <c r="G186" i="1"/>
  <c r="M186" i="1" s="1"/>
  <c r="G187" i="1"/>
  <c r="M187" i="1" s="1"/>
  <c r="G188" i="1"/>
  <c r="M188" i="1" s="1"/>
  <c r="M189" i="1"/>
  <c r="M190" i="1"/>
  <c r="M191" i="1"/>
  <c r="M192" i="1"/>
  <c r="M152" i="1"/>
  <c r="M112" i="1"/>
  <c r="M113" i="1"/>
  <c r="G114" i="1"/>
  <c r="M114" i="1" s="1"/>
  <c r="M115" i="1"/>
  <c r="M116" i="1"/>
  <c r="M117" i="1"/>
  <c r="G118" i="1"/>
  <c r="M118" i="1" s="1"/>
  <c r="M119" i="1"/>
  <c r="M120" i="1"/>
  <c r="G121" i="1"/>
  <c r="M121" i="1" s="1"/>
  <c r="M122" i="1"/>
  <c r="M123" i="1"/>
  <c r="G124" i="1"/>
  <c r="M124" i="1" s="1"/>
  <c r="M125" i="1"/>
  <c r="M126" i="1"/>
  <c r="G127" i="1"/>
  <c r="M127" i="1" s="1"/>
  <c r="M128" i="1"/>
  <c r="M129" i="1"/>
  <c r="G130" i="1"/>
  <c r="M130" i="1" s="1"/>
  <c r="G132" i="1"/>
  <c r="M132" i="1"/>
  <c r="G133" i="1"/>
  <c r="M133" i="1" s="1"/>
  <c r="G135" i="1"/>
  <c r="G136" i="1"/>
  <c r="M136" i="1" s="1"/>
  <c r="G139" i="1"/>
  <c r="M139" i="1" s="1"/>
  <c r="G140" i="1"/>
  <c r="M140" i="1" s="1"/>
  <c r="G142" i="1"/>
  <c r="M142" i="1" s="1"/>
  <c r="G143" i="1"/>
  <c r="M143" i="1" s="1"/>
  <c r="M145" i="1"/>
  <c r="M146" i="1"/>
  <c r="M147" i="1"/>
  <c r="M148" i="1"/>
  <c r="M93" i="1"/>
  <c r="M94" i="1"/>
  <c r="M95" i="1"/>
  <c r="M96" i="1"/>
  <c r="M97" i="1"/>
  <c r="M98" i="1"/>
  <c r="G99" i="1"/>
  <c r="M99" i="1" s="1"/>
  <c r="G100" i="1"/>
  <c r="M100" i="1" s="1"/>
  <c r="G101" i="1"/>
  <c r="M101" i="1" s="1"/>
  <c r="G102" i="1"/>
  <c r="M102" i="1" s="1"/>
  <c r="G103" i="1"/>
  <c r="M103" i="1" s="1"/>
  <c r="G104" i="1"/>
  <c r="M104" i="1" s="1"/>
  <c r="M105" i="1"/>
  <c r="M106" i="1"/>
  <c r="M107" i="1"/>
  <c r="M108" i="1"/>
  <c r="M92" i="1"/>
  <c r="M59" i="1"/>
  <c r="G60" i="1"/>
  <c r="M60" i="1" s="1"/>
  <c r="M61" i="1"/>
  <c r="M62" i="1"/>
  <c r="G63" i="1"/>
  <c r="M63" i="1" s="1"/>
  <c r="M64" i="1"/>
  <c r="M65" i="1"/>
  <c r="G66" i="1"/>
  <c r="M66" i="1" s="1"/>
  <c r="M67" i="1"/>
  <c r="M68" i="1"/>
  <c r="G69" i="1"/>
  <c r="M69" i="1" s="1"/>
  <c r="M70" i="1"/>
  <c r="M71" i="1"/>
  <c r="G72" i="1"/>
  <c r="M72" i="1" s="1"/>
  <c r="M73" i="1"/>
  <c r="M74" i="1"/>
  <c r="G75" i="1"/>
  <c r="M75" i="1" s="1"/>
  <c r="M76" i="1"/>
  <c r="G77" i="1"/>
  <c r="M77" i="1" s="1"/>
  <c r="G78" i="1"/>
  <c r="M78" i="1" s="1"/>
  <c r="G79" i="1"/>
  <c r="M79" i="1" s="1"/>
  <c r="G80" i="1"/>
  <c r="M80" i="1" s="1"/>
  <c r="G81" i="1"/>
  <c r="M81" i="1" s="1"/>
  <c r="G82" i="1"/>
  <c r="M82" i="1"/>
  <c r="M83" i="1"/>
  <c r="M84" i="1"/>
  <c r="M85" i="1"/>
  <c r="M86" i="1"/>
  <c r="M14" i="1"/>
  <c r="M15" i="1"/>
  <c r="M16" i="1"/>
  <c r="G17" i="1"/>
  <c r="M17" i="1" s="1"/>
  <c r="M18" i="1"/>
  <c r="M19" i="1"/>
  <c r="M20" i="1"/>
  <c r="G21" i="1"/>
  <c r="M21" i="1" s="1"/>
  <c r="M22" i="1"/>
  <c r="M23" i="1"/>
  <c r="M24" i="1"/>
  <c r="G25" i="1"/>
  <c r="M25" i="1"/>
  <c r="M26" i="1"/>
  <c r="M27" i="1"/>
  <c r="M28" i="1"/>
  <c r="G29" i="1"/>
  <c r="M29" i="1" s="1"/>
  <c r="M30" i="1"/>
  <c r="M31" i="1"/>
  <c r="M32" i="1"/>
  <c r="G33" i="1"/>
  <c r="M33" i="1" s="1"/>
  <c r="M34" i="1"/>
  <c r="M35" i="1"/>
  <c r="M36" i="1"/>
  <c r="G37" i="1"/>
  <c r="M37" i="1" s="1"/>
  <c r="M38" i="1"/>
  <c r="M39" i="1"/>
  <c r="M40" i="1"/>
  <c r="G41" i="1"/>
  <c r="M41" i="1" s="1"/>
  <c r="M49" i="1"/>
  <c r="M50" i="1"/>
  <c r="M51" i="1"/>
  <c r="M48" i="1"/>
  <c r="G47" i="1"/>
  <c r="M47" i="1" s="1"/>
  <c r="G46" i="1"/>
  <c r="M46" i="1" s="1"/>
  <c r="G45" i="1"/>
  <c r="M45" i="1" s="1"/>
  <c r="G44" i="1"/>
  <c r="M44" i="1" s="1"/>
  <c r="G43" i="1"/>
  <c r="M43" i="1" s="1"/>
  <c r="G42" i="1"/>
  <c r="M42" i="1" s="1"/>
  <c r="M5" i="1"/>
  <c r="M6" i="1"/>
  <c r="M7" i="1"/>
  <c r="M8" i="1"/>
  <c r="M9" i="1"/>
  <c r="M10" i="1"/>
  <c r="M4" i="1"/>
  <c r="I372" i="1"/>
  <c r="K372" i="1" s="1"/>
  <c r="I413" i="1"/>
  <c r="K413" i="1" s="1"/>
  <c r="I390" i="1"/>
  <c r="K390" i="1" s="1"/>
  <c r="I354" i="1"/>
  <c r="K354" i="1" s="1"/>
  <c r="I334" i="1"/>
  <c r="K334" i="1"/>
  <c r="I314" i="1"/>
  <c r="K314" i="1" s="1"/>
  <c r="I155" i="1"/>
  <c r="I159" i="1"/>
  <c r="I163" i="1"/>
  <c r="I167" i="1"/>
  <c r="I171" i="1"/>
  <c r="I175" i="1"/>
  <c r="I179" i="1"/>
  <c r="I29" i="1"/>
  <c r="I33" i="1"/>
  <c r="I37" i="1"/>
  <c r="K37" i="1" s="1"/>
  <c r="I41" i="1"/>
  <c r="I60" i="1"/>
  <c r="I63" i="1"/>
  <c r="I66" i="1"/>
  <c r="K66" i="1" s="1"/>
  <c r="I69" i="1"/>
  <c r="K69" i="1" s="1"/>
  <c r="I72" i="1"/>
  <c r="K72" i="1" s="1"/>
  <c r="I75" i="1"/>
  <c r="K86" i="1"/>
  <c r="K85" i="1"/>
  <c r="K84" i="1"/>
  <c r="K83" i="1"/>
  <c r="K82" i="1"/>
  <c r="N82" i="1"/>
  <c r="K80" i="1"/>
  <c r="N80" i="1" s="1"/>
  <c r="K79" i="1"/>
  <c r="N79" i="1" s="1"/>
  <c r="K78" i="1"/>
  <c r="N78" i="1" s="1"/>
  <c r="K77" i="1"/>
  <c r="N77" i="1" s="1"/>
  <c r="I134" i="1"/>
  <c r="I136" i="1" s="1"/>
  <c r="I130" i="1"/>
  <c r="I127" i="1"/>
  <c r="K127" i="1" s="1"/>
  <c r="I124" i="1"/>
  <c r="K124" i="1" s="1"/>
  <c r="I121" i="1"/>
  <c r="I118" i="1"/>
  <c r="I114" i="1"/>
  <c r="I141" i="1"/>
  <c r="I144" i="1"/>
  <c r="K130" i="1"/>
  <c r="K121" i="1"/>
  <c r="K118" i="1"/>
  <c r="K60" i="1"/>
  <c r="K74" i="1"/>
  <c r="K71" i="1"/>
  <c r="K68" i="1"/>
  <c r="K65" i="1"/>
  <c r="K62" i="1"/>
  <c r="K59" i="1"/>
  <c r="K76" i="1"/>
  <c r="K73" i="1"/>
  <c r="K70" i="1"/>
  <c r="K67" i="1"/>
  <c r="K61" i="1"/>
  <c r="K58" i="1"/>
  <c r="K44" i="1"/>
  <c r="N44" i="1" s="1"/>
  <c r="K45" i="1"/>
  <c r="N45" i="1" s="1"/>
  <c r="K46" i="1"/>
  <c r="N46" i="1" s="1"/>
  <c r="K51" i="1"/>
  <c r="K50" i="1"/>
  <c r="K49" i="1"/>
  <c r="K48" i="1"/>
  <c r="K39" i="1"/>
  <c r="K40" i="1"/>
  <c r="K35" i="1"/>
  <c r="K36" i="1"/>
  <c r="K31" i="1"/>
  <c r="K32" i="1"/>
  <c r="K27" i="1"/>
  <c r="K28" i="1"/>
  <c r="K23" i="1"/>
  <c r="K24" i="1"/>
  <c r="K19" i="1"/>
  <c r="K20" i="1"/>
  <c r="K15" i="1"/>
  <c r="K16" i="1"/>
  <c r="K14" i="1"/>
  <c r="I21" i="1"/>
  <c r="K21" i="1" s="1"/>
  <c r="I17" i="1"/>
  <c r="K30" i="1"/>
  <c r="K38" i="1"/>
  <c r="K34" i="1"/>
  <c r="K26" i="1"/>
  <c r="K22" i="1"/>
  <c r="K18" i="1"/>
  <c r="I11" i="1"/>
  <c r="K11" i="1" s="1"/>
  <c r="K10" i="1"/>
  <c r="K9" i="1"/>
  <c r="K8" i="1"/>
  <c r="K7" i="1"/>
  <c r="K6" i="1"/>
  <c r="K5" i="1"/>
  <c r="K4" i="1"/>
  <c r="I567" i="1"/>
  <c r="K567" i="1" s="1"/>
  <c r="I534" i="1"/>
  <c r="K534" i="1" s="1"/>
  <c r="I486" i="1"/>
  <c r="K486" i="1" s="1"/>
  <c r="I506" i="1"/>
  <c r="K506" i="1" s="1"/>
  <c r="I585" i="1"/>
  <c r="K578" i="1"/>
  <c r="K579" i="1"/>
  <c r="K580" i="1"/>
  <c r="K581" i="1"/>
  <c r="K582" i="1"/>
  <c r="K583" i="1"/>
  <c r="K584" i="1"/>
  <c r="K585" i="1"/>
  <c r="K576" i="1"/>
  <c r="K575" i="1"/>
  <c r="K574" i="1"/>
  <c r="K573" i="1"/>
  <c r="K572" i="1"/>
  <c r="K571" i="1"/>
  <c r="K570" i="1"/>
  <c r="K554" i="1"/>
  <c r="K555" i="1"/>
  <c r="K556" i="1"/>
  <c r="K559" i="1"/>
  <c r="K560" i="1"/>
  <c r="K562" i="1"/>
  <c r="K563" i="1"/>
  <c r="K564" i="1"/>
  <c r="K565" i="1"/>
  <c r="K566" i="1"/>
  <c r="K553" i="1"/>
  <c r="K552" i="1"/>
  <c r="K551" i="1"/>
  <c r="K550" i="1"/>
  <c r="K549" i="1"/>
  <c r="K548" i="1"/>
  <c r="K547" i="1"/>
  <c r="I544" i="1"/>
  <c r="K544" i="1"/>
  <c r="K543" i="1"/>
  <c r="K542" i="1"/>
  <c r="K541" i="1"/>
  <c r="K540" i="1"/>
  <c r="K539" i="1"/>
  <c r="K538" i="1"/>
  <c r="K537" i="1"/>
  <c r="K526" i="1"/>
  <c r="K527" i="1"/>
  <c r="K529" i="1"/>
  <c r="K530" i="1"/>
  <c r="K531" i="1"/>
  <c r="K532" i="1"/>
  <c r="K533" i="1"/>
  <c r="K525" i="1"/>
  <c r="K524" i="1"/>
  <c r="K523" i="1"/>
  <c r="K522" i="1"/>
  <c r="K521" i="1"/>
  <c r="K520" i="1"/>
  <c r="K519" i="1"/>
  <c r="I436" i="1"/>
  <c r="I439" i="1"/>
  <c r="I442" i="1"/>
  <c r="I445" i="1"/>
  <c r="I448" i="1"/>
  <c r="K448" i="1" s="1"/>
  <c r="I451" i="1"/>
  <c r="I454" i="1"/>
  <c r="K431" i="1"/>
  <c r="I291" i="1"/>
  <c r="K291" i="1" s="1"/>
  <c r="I237" i="1"/>
  <c r="I240" i="1"/>
  <c r="I243" i="1"/>
  <c r="I246" i="1"/>
  <c r="I249" i="1"/>
  <c r="I252" i="1"/>
  <c r="K252" i="1" s="1"/>
  <c r="I255" i="1"/>
  <c r="K193" i="1"/>
  <c r="K114" i="1"/>
  <c r="I109" i="1"/>
  <c r="K109" i="1" s="1"/>
  <c r="K480" i="1"/>
  <c r="K481" i="1"/>
  <c r="K482" i="1"/>
  <c r="K483" i="1"/>
  <c r="K496" i="1"/>
  <c r="K497" i="1"/>
  <c r="K499" i="1"/>
  <c r="K500" i="1"/>
  <c r="K501" i="1"/>
  <c r="K505" i="1"/>
  <c r="K504" i="1"/>
  <c r="K503" i="1"/>
  <c r="K502" i="1"/>
  <c r="K485" i="1"/>
  <c r="K484" i="1"/>
  <c r="K479" i="1"/>
  <c r="K478" i="1"/>
  <c r="K477" i="1"/>
  <c r="K476" i="1"/>
  <c r="K475" i="1"/>
  <c r="K474" i="1"/>
  <c r="K473" i="1"/>
  <c r="K495" i="1"/>
  <c r="K494" i="1"/>
  <c r="K493" i="1"/>
  <c r="K492" i="1"/>
  <c r="K491" i="1"/>
  <c r="K490" i="1"/>
  <c r="K489" i="1"/>
  <c r="K467" i="1"/>
  <c r="K466" i="1"/>
  <c r="K465" i="1"/>
  <c r="K464" i="1"/>
  <c r="K456" i="1"/>
  <c r="K457" i="1"/>
  <c r="K458" i="1"/>
  <c r="K459" i="1"/>
  <c r="K460" i="1"/>
  <c r="K461" i="1"/>
  <c r="K462" i="1"/>
  <c r="K455" i="1"/>
  <c r="K454" i="1"/>
  <c r="K445" i="1"/>
  <c r="K439" i="1"/>
  <c r="K436" i="1"/>
  <c r="K453" i="1"/>
  <c r="K447" i="1"/>
  <c r="K444" i="1"/>
  <c r="K441" i="1"/>
  <c r="K438" i="1"/>
  <c r="K435" i="1"/>
  <c r="K452" i="1"/>
  <c r="K449" i="1"/>
  <c r="K446" i="1"/>
  <c r="K443" i="1"/>
  <c r="K440" i="1"/>
  <c r="K437" i="1"/>
  <c r="K434" i="1"/>
  <c r="K389" i="1"/>
  <c r="K388" i="1"/>
  <c r="K368" i="1"/>
  <c r="K367" i="1"/>
  <c r="K366" i="1"/>
  <c r="K364" i="1"/>
  <c r="K345" i="1"/>
  <c r="K346" i="1"/>
  <c r="K347" i="1"/>
  <c r="K348" i="1"/>
  <c r="K349" i="1"/>
  <c r="K353" i="1"/>
  <c r="K352" i="1"/>
  <c r="K351" i="1"/>
  <c r="K350" i="1"/>
  <c r="K371" i="1"/>
  <c r="K370" i="1"/>
  <c r="K363" i="1"/>
  <c r="K362" i="1"/>
  <c r="K361" i="1"/>
  <c r="K360" i="1"/>
  <c r="K359" i="1"/>
  <c r="K358" i="1"/>
  <c r="K357" i="1"/>
  <c r="K381" i="1"/>
  <c r="K380" i="1"/>
  <c r="K379" i="1"/>
  <c r="K378" i="1"/>
  <c r="K377" i="1"/>
  <c r="K376" i="1"/>
  <c r="K375" i="1"/>
  <c r="K387" i="1"/>
  <c r="K386" i="1"/>
  <c r="K384" i="1"/>
  <c r="K383" i="1"/>
  <c r="K343" i="1"/>
  <c r="K342" i="1"/>
  <c r="K341" i="1"/>
  <c r="K340" i="1"/>
  <c r="K339" i="1"/>
  <c r="K338" i="1"/>
  <c r="K337" i="1"/>
  <c r="K317" i="1"/>
  <c r="K309" i="1"/>
  <c r="K310" i="1"/>
  <c r="K311" i="1"/>
  <c r="K312" i="1"/>
  <c r="K313" i="1"/>
  <c r="K324" i="1"/>
  <c r="K325" i="1"/>
  <c r="K327" i="1"/>
  <c r="K328" i="1"/>
  <c r="K329" i="1"/>
  <c r="K333" i="1"/>
  <c r="K332" i="1"/>
  <c r="K331" i="1"/>
  <c r="K330" i="1"/>
  <c r="K323" i="1"/>
  <c r="K322" i="1"/>
  <c r="K321" i="1"/>
  <c r="K320" i="1"/>
  <c r="K319" i="1"/>
  <c r="K318" i="1"/>
  <c r="K301" i="1"/>
  <c r="K302" i="1"/>
  <c r="K304" i="1"/>
  <c r="K305" i="1"/>
  <c r="K306" i="1"/>
  <c r="K308" i="1"/>
  <c r="K300" i="1"/>
  <c r="K299" i="1"/>
  <c r="K298" i="1"/>
  <c r="K297" i="1"/>
  <c r="K296" i="1"/>
  <c r="K295" i="1"/>
  <c r="K294" i="1"/>
  <c r="K409" i="1"/>
  <c r="K410" i="1"/>
  <c r="K411" i="1"/>
  <c r="K412" i="1"/>
  <c r="K400" i="1"/>
  <c r="K401" i="1"/>
  <c r="K402" i="1"/>
  <c r="K404" i="1"/>
  <c r="K405" i="1"/>
  <c r="K406" i="1"/>
  <c r="K423" i="1"/>
  <c r="K424" i="1"/>
  <c r="K426" i="1"/>
  <c r="K427" i="1"/>
  <c r="K428" i="1"/>
  <c r="K429" i="1"/>
  <c r="K430" i="1"/>
  <c r="K422" i="1"/>
  <c r="K421" i="1"/>
  <c r="K420" i="1"/>
  <c r="K419" i="1"/>
  <c r="K418" i="1"/>
  <c r="K417" i="1"/>
  <c r="K416" i="1"/>
  <c r="K399" i="1"/>
  <c r="K398" i="1"/>
  <c r="K397" i="1"/>
  <c r="K396" i="1"/>
  <c r="K395" i="1"/>
  <c r="K394" i="1"/>
  <c r="K393" i="1"/>
  <c r="K214" i="1"/>
  <c r="K226" i="1"/>
  <c r="K227" i="1"/>
  <c r="K228" i="1"/>
  <c r="K229" i="1"/>
  <c r="K220" i="1"/>
  <c r="K221" i="1"/>
  <c r="K222" i="1"/>
  <c r="K223" i="1"/>
  <c r="K224" i="1"/>
  <c r="K225" i="1"/>
  <c r="K216" i="1"/>
  <c r="K213" i="1"/>
  <c r="K210" i="1"/>
  <c r="K207" i="1"/>
  <c r="K204" i="1"/>
  <c r="K201" i="1"/>
  <c r="K218" i="1"/>
  <c r="K215" i="1"/>
  <c r="K212" i="1"/>
  <c r="K209" i="1"/>
  <c r="K206" i="1"/>
  <c r="K203" i="1"/>
  <c r="K200" i="1"/>
  <c r="K217" i="1"/>
  <c r="K211" i="1"/>
  <c r="K208" i="1"/>
  <c r="K205" i="1"/>
  <c r="K202" i="1"/>
  <c r="K199" i="1"/>
  <c r="K152" i="1"/>
  <c r="K290" i="1"/>
  <c r="K289" i="1"/>
  <c r="K288" i="1"/>
  <c r="K287" i="1"/>
  <c r="K278" i="1"/>
  <c r="K281" i="1"/>
  <c r="K282" i="1"/>
  <c r="K283" i="1"/>
  <c r="K284" i="1"/>
  <c r="K285" i="1"/>
  <c r="K272" i="1"/>
  <c r="K273" i="1"/>
  <c r="K274" i="1"/>
  <c r="K275" i="1"/>
  <c r="K276" i="1"/>
  <c r="K277" i="1"/>
  <c r="K271" i="1"/>
  <c r="K108" i="1"/>
  <c r="K107" i="1"/>
  <c r="K106" i="1"/>
  <c r="K105" i="1"/>
  <c r="K99" i="1"/>
  <c r="K100" i="1"/>
  <c r="K101" i="1"/>
  <c r="K102" i="1"/>
  <c r="K103" i="1"/>
  <c r="K104" i="1"/>
  <c r="K98" i="1"/>
  <c r="K97" i="1"/>
  <c r="K96" i="1"/>
  <c r="K95" i="1"/>
  <c r="K94" i="1"/>
  <c r="K93" i="1"/>
  <c r="K92" i="1"/>
  <c r="K265" i="1"/>
  <c r="K264" i="1"/>
  <c r="K263" i="1"/>
  <c r="K262" i="1"/>
  <c r="K192" i="1"/>
  <c r="K191" i="1"/>
  <c r="K190" i="1"/>
  <c r="K189" i="1"/>
  <c r="K146" i="1"/>
  <c r="K147" i="1"/>
  <c r="K148" i="1"/>
  <c r="K261" i="1"/>
  <c r="K260" i="1"/>
  <c r="K259" i="1"/>
  <c r="K257" i="1"/>
  <c r="K256" i="1"/>
  <c r="K249" i="1"/>
  <c r="K243" i="1"/>
  <c r="K240" i="1"/>
  <c r="K237" i="1"/>
  <c r="K254" i="1"/>
  <c r="K253" i="1"/>
  <c r="K251" i="1"/>
  <c r="K250" i="1"/>
  <c r="K248" i="1"/>
  <c r="K247" i="1"/>
  <c r="K245" i="1"/>
  <c r="K244" i="1"/>
  <c r="K242" i="1"/>
  <c r="K241" i="1"/>
  <c r="K239" i="1"/>
  <c r="K238" i="1"/>
  <c r="K236" i="1"/>
  <c r="K235" i="1"/>
  <c r="K143" i="1"/>
  <c r="K142" i="1"/>
  <c r="K140" i="1"/>
  <c r="K139" i="1"/>
  <c r="K138" i="1"/>
  <c r="K133" i="1"/>
  <c r="K132" i="1"/>
  <c r="K131" i="1"/>
  <c r="K129" i="1"/>
  <c r="K128" i="1"/>
  <c r="K126" i="1"/>
  <c r="K125" i="1"/>
  <c r="K123" i="1"/>
  <c r="K122" i="1"/>
  <c r="K120" i="1"/>
  <c r="K119" i="1"/>
  <c r="K117" i="1"/>
  <c r="K116" i="1"/>
  <c r="K115" i="1"/>
  <c r="K113" i="1"/>
  <c r="K112" i="1"/>
  <c r="K174" i="1"/>
  <c r="K175" i="1"/>
  <c r="K178" i="1"/>
  <c r="K154" i="1"/>
  <c r="K158" i="1"/>
  <c r="K159" i="1"/>
  <c r="K162" i="1"/>
  <c r="K166" i="1"/>
  <c r="K167" i="1"/>
  <c r="K170" i="1"/>
  <c r="K156" i="1"/>
  <c r="K160" i="1"/>
  <c r="K164" i="1"/>
  <c r="K168" i="1"/>
  <c r="K172" i="1"/>
  <c r="K176" i="1"/>
  <c r="K153" i="1"/>
  <c r="K157" i="1"/>
  <c r="K161" i="1"/>
  <c r="K165" i="1"/>
  <c r="K169" i="1"/>
  <c r="K173" i="1"/>
  <c r="K177" i="1"/>
  <c r="K188" i="1"/>
  <c r="K186" i="1"/>
  <c r="K185" i="1"/>
  <c r="K184" i="1"/>
  <c r="K183" i="1"/>
  <c r="K182" i="1"/>
  <c r="K181" i="1"/>
  <c r="K180" i="1"/>
  <c r="K246" i="1" l="1"/>
  <c r="K163" i="1"/>
  <c r="K463" i="1"/>
  <c r="K135" i="1"/>
  <c r="N195" i="1"/>
  <c r="N196" i="1" s="1"/>
  <c r="K425" i="1"/>
  <c r="K326" i="1"/>
  <c r="K382" i="1"/>
  <c r="H141" i="1"/>
  <c r="L141" i="1" s="1"/>
  <c r="K145" i="1"/>
  <c r="K219" i="1"/>
  <c r="K344" i="1"/>
  <c r="K442" i="1"/>
  <c r="K41" i="1"/>
  <c r="L135" i="1"/>
  <c r="K286" i="1"/>
  <c r="K498" i="1"/>
  <c r="I266" i="1"/>
  <c r="K171" i="1"/>
  <c r="K407" i="1"/>
  <c r="K577" i="1"/>
  <c r="K33" i="1"/>
  <c r="I195" i="1"/>
  <c r="K195" i="1" s="1"/>
  <c r="L55" i="1"/>
  <c r="N54" i="1"/>
  <c r="K187" i="1"/>
  <c r="K179" i="1"/>
  <c r="K81" i="1"/>
  <c r="N81" i="1" s="1"/>
  <c r="G137" i="1"/>
  <c r="M137" i="1" s="1"/>
  <c r="N53" i="1"/>
  <c r="N55" i="1" s="1"/>
  <c r="K266" i="1"/>
  <c r="I469" i="1"/>
  <c r="K469" i="1" s="1"/>
  <c r="I267" i="1"/>
  <c r="K267" i="1" s="1"/>
  <c r="G144" i="1"/>
  <c r="M144" i="1" s="1"/>
  <c r="N348" i="1"/>
  <c r="N266" i="1"/>
  <c r="N267" i="1"/>
  <c r="M135" i="1"/>
  <c r="N347" i="1"/>
  <c r="G134" i="1"/>
  <c r="M134" i="1" s="1"/>
  <c r="H134" i="1"/>
  <c r="L134" i="1" s="1"/>
  <c r="I137" i="1"/>
  <c r="K137" i="1" s="1"/>
  <c r="K136" i="1"/>
  <c r="K43" i="1"/>
  <c r="N43" i="1" s="1"/>
  <c r="L43" i="1"/>
  <c r="K303" i="1"/>
  <c r="K451" i="1"/>
  <c r="I88" i="1"/>
  <c r="K88" i="1" s="1"/>
  <c r="I54" i="1"/>
  <c r="K54" i="1" s="1"/>
  <c r="N369" i="1"/>
  <c r="L403" i="1"/>
  <c r="K403" i="1"/>
  <c r="L558" i="1"/>
  <c r="K558" i="1"/>
  <c r="L143" i="1"/>
  <c r="H144" i="1"/>
  <c r="K408" i="1"/>
  <c r="I230" i="1"/>
  <c r="I231" i="1"/>
  <c r="K231" i="1" s="1"/>
  <c r="K557" i="1"/>
  <c r="K42" i="1"/>
  <c r="N42" i="1" s="1"/>
  <c r="I87" i="1"/>
  <c r="K87" i="1" s="1"/>
  <c r="I52" i="1"/>
  <c r="K52" i="1" s="1"/>
  <c r="L17" i="1"/>
  <c r="K17" i="1"/>
  <c r="K63" i="1"/>
  <c r="L63" i="1"/>
  <c r="L365" i="1"/>
  <c r="N365" i="1"/>
  <c r="K365" i="1"/>
  <c r="N87" i="1"/>
  <c r="N88" i="1"/>
  <c r="L89" i="1"/>
  <c r="K385" i="1"/>
  <c r="I194" i="1"/>
  <c r="I468" i="1"/>
  <c r="I89" i="1"/>
  <c r="K89" i="1" s="1"/>
  <c r="I53" i="1"/>
  <c r="K53" i="1" s="1"/>
  <c r="K25" i="1"/>
  <c r="L25" i="1"/>
  <c r="L258" i="1"/>
  <c r="K258" i="1"/>
  <c r="N366" i="1"/>
  <c r="L366" i="1"/>
  <c r="N231" i="1"/>
  <c r="N230" i="1"/>
  <c r="L232" i="1"/>
  <c r="K155" i="1"/>
  <c r="K255" i="1"/>
  <c r="K280" i="1"/>
  <c r="K369" i="1"/>
  <c r="K29" i="1"/>
  <c r="I55" i="1"/>
  <c r="K55" i="1" s="1"/>
  <c r="K47" i="1"/>
  <c r="N47" i="1" s="1"/>
  <c r="L47" i="1"/>
  <c r="L307" i="1"/>
  <c r="K307" i="1"/>
  <c r="K528" i="1"/>
  <c r="L528" i="1"/>
  <c r="L561" i="1"/>
  <c r="K561" i="1"/>
  <c r="K279" i="1"/>
  <c r="K75" i="1"/>
  <c r="G141" i="1"/>
  <c r="M141" i="1" s="1"/>
  <c r="L345" i="1"/>
  <c r="N468" i="1"/>
  <c r="N89" i="1" l="1"/>
  <c r="K141" i="1"/>
  <c r="I149" i="1"/>
  <c r="K149" i="1" s="1"/>
  <c r="K134" i="1"/>
  <c r="I268" i="1"/>
  <c r="K268" i="1" s="1"/>
  <c r="I470" i="1"/>
  <c r="K470" i="1" s="1"/>
  <c r="K468" i="1"/>
  <c r="I196" i="1"/>
  <c r="K196" i="1" s="1"/>
  <c r="K194" i="1"/>
  <c r="L144" i="1"/>
  <c r="K144" i="1"/>
  <c r="I232" i="1"/>
  <c r="K232" i="1" s="1"/>
  <c r="K230" i="1"/>
</calcChain>
</file>

<file path=xl/sharedStrings.xml><?xml version="1.0" encoding="utf-8"?>
<sst xmlns="http://schemas.openxmlformats.org/spreadsheetml/2006/main" count="1915" uniqueCount="224">
  <si>
    <t>IT1+2+3/ILTB</t>
  </si>
  <si>
    <t>Species</t>
  </si>
  <si>
    <t>Body mass</t>
  </si>
  <si>
    <t>Muscle</t>
  </si>
  <si>
    <t>Fibre length</t>
  </si>
  <si>
    <t>Muscle mass</t>
  </si>
  <si>
    <t>Source</t>
  </si>
  <si>
    <t>Muscles</t>
  </si>
  <si>
    <t>Alligator</t>
  </si>
  <si>
    <t>IT1</t>
  </si>
  <si>
    <t>Allen</t>
  </si>
  <si>
    <t>Melanosuchus</t>
  </si>
  <si>
    <t>C. johnstoni</t>
  </si>
  <si>
    <t>C. moreletti</t>
  </si>
  <si>
    <t>C. niloticus</t>
  </si>
  <si>
    <t>Osteolaemus</t>
  </si>
  <si>
    <t>IT2</t>
  </si>
  <si>
    <t>IT3</t>
  </si>
  <si>
    <t>V. brevicauda</t>
  </si>
  <si>
    <t>ILTB</t>
  </si>
  <si>
    <t>Dick &amp; Clemente 2016</t>
  </si>
  <si>
    <t>V. caudolineatus</t>
  </si>
  <si>
    <t>V. eremius</t>
  </si>
  <si>
    <t>V. gouldii</t>
  </si>
  <si>
    <t>V. komodoensis</t>
  </si>
  <si>
    <t>V. panoptes</t>
  </si>
  <si>
    <t>V. scalaris</t>
  </si>
  <si>
    <t>V. tristis</t>
  </si>
  <si>
    <t>V. varius</t>
  </si>
  <si>
    <t>ITs combined</t>
  </si>
  <si>
    <t>AMB</t>
  </si>
  <si>
    <t>AMB1</t>
  </si>
  <si>
    <t>AMB2</t>
  </si>
  <si>
    <t>AMBD</t>
  </si>
  <si>
    <t>AMBV</t>
  </si>
  <si>
    <t>NA</t>
  </si>
  <si>
    <t>ADD1+2/AFEM</t>
  </si>
  <si>
    <t>ADD1</t>
  </si>
  <si>
    <t>ADD2</t>
  </si>
  <si>
    <t>ADDs combined</t>
  </si>
  <si>
    <t>AFEM</t>
  </si>
  <si>
    <t>G. gecko</t>
  </si>
  <si>
    <t>E. macularius</t>
  </si>
  <si>
    <t>Zaaf et al 1999</t>
  </si>
  <si>
    <t>ILTI</t>
  </si>
  <si>
    <t>Corrected typo from original data</t>
  </si>
  <si>
    <t>ADD</t>
  </si>
  <si>
    <t>IF</t>
  </si>
  <si>
    <t>ILFEM</t>
  </si>
  <si>
    <t>ILFE</t>
  </si>
  <si>
    <t>IF/ILFEM/ILFE</t>
  </si>
  <si>
    <t>PIT</t>
  </si>
  <si>
    <t>muscle group</t>
  </si>
  <si>
    <t>body segment</t>
  </si>
  <si>
    <t>triceps femoris</t>
  </si>
  <si>
    <t>thigh</t>
  </si>
  <si>
    <t>ISTR</t>
  </si>
  <si>
    <t>deep ventral</t>
  </si>
  <si>
    <t>body</t>
  </si>
  <si>
    <t>deep dorsal</t>
  </si>
  <si>
    <t>adductor group</t>
  </si>
  <si>
    <t>FMTE+FMTI/FTIB/FETI</t>
  </si>
  <si>
    <t>FMTE</t>
  </si>
  <si>
    <t>FMTI</t>
  </si>
  <si>
    <t>FMTs combied</t>
  </si>
  <si>
    <t>V. gouldi</t>
  </si>
  <si>
    <t>FTIB</t>
  </si>
  <si>
    <t>FETI</t>
  </si>
  <si>
    <t>Mislabeled muscles</t>
  </si>
  <si>
    <t>tail</t>
  </si>
  <si>
    <t>retractor</t>
  </si>
  <si>
    <t>CFL</t>
  </si>
  <si>
    <t>CFB</t>
  </si>
  <si>
    <t>V. Scalaris</t>
  </si>
  <si>
    <t>CFEMB</t>
  </si>
  <si>
    <t>CFEML</t>
  </si>
  <si>
    <t>CFL/CFEML</t>
  </si>
  <si>
    <t>CFB/CFEMB</t>
  </si>
  <si>
    <t>ILFB</t>
  </si>
  <si>
    <t>flexor cruris</t>
  </si>
  <si>
    <t>ILFIB</t>
  </si>
  <si>
    <t>ILFI</t>
  </si>
  <si>
    <t>ILFB/ILFIB/ILFI</t>
  </si>
  <si>
    <t>FTI 1</t>
  </si>
  <si>
    <t>FTE</t>
  </si>
  <si>
    <t>FTEP</t>
  </si>
  <si>
    <t>FTE/FTEP</t>
  </si>
  <si>
    <t>FTI (S)</t>
  </si>
  <si>
    <t>FTIP</t>
  </si>
  <si>
    <t>FTEA</t>
  </si>
  <si>
    <t>FTI 3/FTI (D)/ FTI A</t>
  </si>
  <si>
    <t>FTI3</t>
  </si>
  <si>
    <t>FTI (D)</t>
  </si>
  <si>
    <t>FTIA</t>
  </si>
  <si>
    <t>FTI 2</t>
  </si>
  <si>
    <t>FTI 2/FTI (S) ?/FTEA</t>
  </si>
  <si>
    <t>FTI 1/FTI (S)/FTIA</t>
  </si>
  <si>
    <t>GL/GM/GAST</t>
  </si>
  <si>
    <t>GL</t>
  </si>
  <si>
    <t>GM</t>
  </si>
  <si>
    <t>Gast combined</t>
  </si>
  <si>
    <t>crus</t>
  </si>
  <si>
    <t>ankle flexor</t>
  </si>
  <si>
    <t>GAST</t>
  </si>
  <si>
    <t>FB/PBREV/PERB</t>
  </si>
  <si>
    <t>FL</t>
  </si>
  <si>
    <t>FB</t>
  </si>
  <si>
    <t>PERB</t>
  </si>
  <si>
    <t>PERL</t>
  </si>
  <si>
    <t>PBREV</t>
  </si>
  <si>
    <t>PLONG</t>
  </si>
  <si>
    <t>Euparkeria</t>
  </si>
  <si>
    <t>AMB combined</t>
  </si>
  <si>
    <t>ADDs combied</t>
  </si>
  <si>
    <t>FTI 3</t>
  </si>
  <si>
    <t>Gast combied</t>
  </si>
  <si>
    <t>FL/PLONG/PERL</t>
  </si>
  <si>
    <t>FDL</t>
  </si>
  <si>
    <t>digital flexor</t>
  </si>
  <si>
    <t>FHL</t>
  </si>
  <si>
    <t>EDL</t>
  </si>
  <si>
    <t>ankle extensor</t>
  </si>
  <si>
    <t>TA</t>
  </si>
  <si>
    <t>TIBA</t>
  </si>
  <si>
    <t>TIAN</t>
  </si>
  <si>
    <t>PIFE1</t>
  </si>
  <si>
    <t>PIFE2</t>
  </si>
  <si>
    <t>PIFE3</t>
  </si>
  <si>
    <t>PIFEs combined</t>
  </si>
  <si>
    <t>PIFE1+2+3/PIF/PIFE</t>
  </si>
  <si>
    <t>PIFI</t>
  </si>
  <si>
    <t>PIFE</t>
  </si>
  <si>
    <t>PIF</t>
  </si>
  <si>
    <t>PIF1+2/PIF/PIFI</t>
  </si>
  <si>
    <t>PIFI1</t>
  </si>
  <si>
    <t>PIFI2</t>
  </si>
  <si>
    <t>PIFI combined</t>
  </si>
  <si>
    <t>PIFIs combined</t>
  </si>
  <si>
    <t>muscle homologies across saurians</t>
  </si>
  <si>
    <t>This study</t>
  </si>
  <si>
    <t>Romer 1922</t>
  </si>
  <si>
    <t>Romer 1923</t>
  </si>
  <si>
    <t>Romer 1942</t>
  </si>
  <si>
    <t>Snyder 1954</t>
  </si>
  <si>
    <t>Haines, 1934</t>
  </si>
  <si>
    <t>Zaaf et al. 1999</t>
  </si>
  <si>
    <t>Iguana</t>
  </si>
  <si>
    <t>Crocodilus</t>
  </si>
  <si>
    <t>Basiliscus</t>
  </si>
  <si>
    <t>Varanus</t>
  </si>
  <si>
    <t>Gecko</t>
  </si>
  <si>
    <t>Eublepharis</t>
  </si>
  <si>
    <t>flexort tibialis externus</t>
  </si>
  <si>
    <t>flexor tibialis internus 1</t>
  </si>
  <si>
    <t>FTI I</t>
  </si>
  <si>
    <t>FTIM</t>
  </si>
  <si>
    <t>FTI S</t>
  </si>
  <si>
    <t>FT inferior</t>
  </si>
  <si>
    <t>flexor tibialis internus 2</t>
  </si>
  <si>
    <t>PIT III</t>
  </si>
  <si>
    <t>(FTI S?)</t>
  </si>
  <si>
    <t>F intercapitalis posterior</t>
  </si>
  <si>
    <t>(FTIA?)</t>
  </si>
  <si>
    <t>flexor tibialis internus 3</t>
  </si>
  <si>
    <t>FTI II</t>
  </si>
  <si>
    <t>FTIL</t>
  </si>
  <si>
    <t>FTI D</t>
  </si>
  <si>
    <t>FT genicularis</t>
  </si>
  <si>
    <t>-</t>
  </si>
  <si>
    <t>flexor tibialis internus 4</t>
  </si>
  <si>
    <t>undivided (?)</t>
  </si>
  <si>
    <t>FTI 4</t>
  </si>
  <si>
    <t>puboischiotibialis</t>
  </si>
  <si>
    <t>PIT II</t>
  </si>
  <si>
    <t>pubotibialis</t>
  </si>
  <si>
    <t>absent (?)</t>
  </si>
  <si>
    <t>PT</t>
  </si>
  <si>
    <t>absent</t>
  </si>
  <si>
    <t>PTIB</t>
  </si>
  <si>
    <t>adductor tibialis</t>
  </si>
  <si>
    <t>PUTI</t>
  </si>
  <si>
    <t>FTI 1, FTI 2, PIT and PT insert on medial tibia</t>
  </si>
  <si>
    <t>FTE, FTI 3 and FTI 4 (where present) insert on posterolateral tibia</t>
  </si>
  <si>
    <r>
      <t>M</t>
    </r>
    <r>
      <rPr>
        <b/>
        <vertAlign val="subscript"/>
        <sz val="11"/>
        <color theme="1"/>
        <rFont val="Times New Roman"/>
      </rPr>
      <t>muscle</t>
    </r>
    <r>
      <rPr>
        <b/>
        <sz val="11"/>
        <color theme="1"/>
        <rFont val="Times New Roman"/>
        <family val="1"/>
      </rPr>
      <t>*cos(θ)/M</t>
    </r>
    <r>
      <rPr>
        <b/>
        <vertAlign val="subscript"/>
        <sz val="11"/>
        <color theme="1"/>
        <rFont val="Times New Roman"/>
      </rPr>
      <t>body</t>
    </r>
    <r>
      <rPr>
        <b/>
        <sz val="11"/>
        <color theme="1"/>
        <rFont val="Times New Roman"/>
        <family val="1"/>
      </rPr>
      <t xml:space="preserve"> vs L</t>
    </r>
    <r>
      <rPr>
        <b/>
        <vertAlign val="subscript"/>
        <sz val="11"/>
        <color theme="1"/>
        <rFont val="Times New Roman"/>
      </rPr>
      <t>o</t>
    </r>
    <r>
      <rPr>
        <b/>
        <sz val="11"/>
        <color theme="1"/>
        <rFont val="Times New Roman"/>
        <family val="1"/>
      </rPr>
      <t>/M</t>
    </r>
    <r>
      <rPr>
        <b/>
        <vertAlign val="subscript"/>
        <sz val="11"/>
        <color theme="1"/>
        <rFont val="Times New Roman"/>
      </rPr>
      <t>body</t>
    </r>
    <r>
      <rPr>
        <b/>
        <vertAlign val="superscript"/>
        <sz val="11"/>
        <color theme="1"/>
        <rFont val="Times New Roman"/>
      </rPr>
      <t>0.33</t>
    </r>
  </si>
  <si>
    <r>
      <t>L</t>
    </r>
    <r>
      <rPr>
        <b/>
        <vertAlign val="subscript"/>
        <sz val="11"/>
        <color theme="1"/>
        <rFont val="Times New Roman"/>
      </rPr>
      <t>o</t>
    </r>
    <r>
      <rPr>
        <b/>
        <sz val="11"/>
        <color theme="1"/>
        <rFont val="Times New Roman"/>
        <family val="1"/>
      </rPr>
      <t>/M</t>
    </r>
    <r>
      <rPr>
        <b/>
        <vertAlign val="subscript"/>
        <sz val="11"/>
        <color theme="1"/>
        <rFont val="Times New Roman"/>
      </rPr>
      <t>body</t>
    </r>
    <r>
      <rPr>
        <b/>
        <vertAlign val="superscript"/>
        <sz val="11"/>
        <color theme="1"/>
        <rFont val="Times New Roman"/>
      </rPr>
      <t>0.33</t>
    </r>
  </si>
  <si>
    <t>Pennation (θ)</t>
  </si>
  <si>
    <r>
      <t>M</t>
    </r>
    <r>
      <rPr>
        <b/>
        <vertAlign val="subscript"/>
        <sz val="11"/>
        <color theme="1"/>
        <rFont val="Times New Roman"/>
      </rPr>
      <t>muscle</t>
    </r>
    <r>
      <rPr>
        <b/>
        <sz val="11"/>
        <color theme="1"/>
        <rFont val="Times New Roman"/>
        <family val="1"/>
      </rPr>
      <t>*cos(θ)/M</t>
    </r>
    <r>
      <rPr>
        <b/>
        <vertAlign val="subscript"/>
        <sz val="11"/>
        <color theme="1"/>
        <rFont val="Times New Roman"/>
      </rPr>
      <t>body</t>
    </r>
  </si>
  <si>
    <t>Hutchinson 2001</t>
  </si>
  <si>
    <t>FTI1</t>
  </si>
  <si>
    <t>FTI2</t>
  </si>
  <si>
    <t>FTI4</t>
  </si>
  <si>
    <t>Lepidosauria</t>
  </si>
  <si>
    <t>Crocodylia</t>
  </si>
  <si>
    <t>PIT2</t>
  </si>
  <si>
    <t>PIT3</t>
  </si>
  <si>
    <t>PP</t>
  </si>
  <si>
    <t>PP/TP</t>
  </si>
  <si>
    <t>EDB</t>
  </si>
  <si>
    <t>digital extensor</t>
  </si>
  <si>
    <t>pes</t>
  </si>
  <si>
    <t>FDB/FDBS+FDBP</t>
  </si>
  <si>
    <t>FDB</t>
  </si>
  <si>
    <t>FDBS</t>
  </si>
  <si>
    <t>FDBP</t>
  </si>
  <si>
    <r>
      <t>M</t>
    </r>
    <r>
      <rPr>
        <b/>
        <vertAlign val="subscript"/>
        <sz val="11"/>
        <color theme="1"/>
        <rFont val="Times New Roman"/>
      </rPr>
      <t>muscle</t>
    </r>
    <r>
      <rPr>
        <b/>
        <sz val="11"/>
        <color theme="1"/>
        <rFont val="Times New Roman"/>
        <family val="1"/>
      </rPr>
      <t>/M</t>
    </r>
    <r>
      <rPr>
        <b/>
        <vertAlign val="subscript"/>
        <sz val="11"/>
        <color theme="1"/>
        <rFont val="Times New Roman"/>
      </rPr>
      <t>body</t>
    </r>
  </si>
  <si>
    <t>AHD</t>
  </si>
  <si>
    <t>This study: 3D model</t>
  </si>
  <si>
    <t>Dick &amp; Clemente 2018</t>
  </si>
  <si>
    <t>Dick &amp; Clemente 2019</t>
  </si>
  <si>
    <t>Dick &amp; Clemente 2020</t>
  </si>
  <si>
    <t>Dick &amp; Clemente 2021</t>
  </si>
  <si>
    <t>Dick &amp; Clemente 2022</t>
  </si>
  <si>
    <t>Dick &amp; Clemente 2023</t>
  </si>
  <si>
    <t>Dick &amp; Clemente 2024</t>
  </si>
  <si>
    <t>Dick &amp; Clemente 2025</t>
  </si>
  <si>
    <t>Dick &amp; Clemente 2026</t>
  </si>
  <si>
    <t>Dick &amp; Clemente 2027</t>
  </si>
  <si>
    <t>Dick &amp; Clemente 2028</t>
  </si>
  <si>
    <t>Dick &amp; Clemente 2029</t>
  </si>
  <si>
    <t>TC</t>
  </si>
  <si>
    <t>TC/EDL</t>
  </si>
  <si>
    <t>EDL/TA/TIBA/TIAN</t>
  </si>
  <si>
    <t>Wiseman et al. 2021</t>
  </si>
  <si>
    <t>Allen et al.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</si>
</sst>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C_H_F_-;\-* #,##0.00\ _C_H_F_-;_-* &quot;-&quot;??\ _C_H_F_-;_-@_-"/>
    <numFmt numFmtId="165" formatCode="0.000000"/>
    <numFmt numFmtId="166" formatCode="0.000000000"/>
    <numFmt numFmtId="167" formatCode="0.000"/>
    <numFmt numFmtId="168" formatCode="0.0000000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</font>
    <font>
      <b/>
      <sz val="11"/>
      <name val="Times New Roman"/>
    </font>
    <font>
      <b/>
      <sz val="11"/>
      <color rgb="FF000000"/>
      <name val="Times New Roman"/>
      <family val="1"/>
    </font>
    <font>
      <i/>
      <sz val="11"/>
      <color theme="1"/>
      <name val="Times New Roman"/>
    </font>
    <font>
      <b/>
      <vertAlign val="superscript"/>
      <sz val="11"/>
      <color theme="1"/>
      <name val="Times New Roman"/>
    </font>
    <font>
      <b/>
      <vertAlign val="subscript"/>
      <sz val="11"/>
      <color theme="1"/>
      <name val="Times New Roman"/>
    </font>
    <font>
      <sz val="11"/>
      <color rgb="FFFF0000"/>
      <name val="Times New Roman"/>
      <family val="1"/>
    </font>
    <font>
      <sz val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4EE371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4EE371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rgb="FFFDE9D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2DCD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810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3" fillId="0" borderId="0" xfId="0" applyFont="1"/>
    <xf numFmtId="0" fontId="2" fillId="3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2" fillId="6" borderId="0" xfId="0" applyFont="1" applyFill="1"/>
    <xf numFmtId="0" fontId="2" fillId="0" borderId="0" xfId="0" applyFont="1" applyFill="1"/>
    <xf numFmtId="0" fontId="6" fillId="0" borderId="0" xfId="0" applyFont="1" applyFill="1"/>
    <xf numFmtId="0" fontId="2" fillId="8" borderId="0" xfId="0" applyFont="1" applyFill="1"/>
    <xf numFmtId="0" fontId="6" fillId="8" borderId="0" xfId="0" applyFont="1" applyFill="1"/>
    <xf numFmtId="0" fontId="6" fillId="6" borderId="0" xfId="0" applyFont="1" applyFill="1"/>
    <xf numFmtId="0" fontId="3" fillId="0" borderId="0" xfId="0" applyFont="1" applyBorder="1"/>
    <xf numFmtId="0" fontId="3" fillId="0" borderId="0" xfId="0" applyFont="1" applyFill="1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7" borderId="0" xfId="0" applyFont="1" applyFill="1" applyBorder="1"/>
    <xf numFmtId="0" fontId="6" fillId="0" borderId="0" xfId="0" applyFont="1" applyBorder="1"/>
    <xf numFmtId="0" fontId="6" fillId="0" borderId="2" xfId="0" applyFont="1" applyBorder="1"/>
    <xf numFmtId="0" fontId="6" fillId="0" borderId="0" xfId="0" applyFont="1" applyFill="1" applyBorder="1"/>
    <xf numFmtId="0" fontId="7" fillId="0" borderId="0" xfId="0" applyFont="1" applyBorder="1"/>
    <xf numFmtId="0" fontId="2" fillId="2" borderId="0" xfId="0" applyFont="1" applyFill="1" applyBorder="1"/>
    <xf numFmtId="0" fontId="2" fillId="3" borderId="0" xfId="0" applyFont="1" applyFill="1" applyBorder="1"/>
    <xf numFmtId="0" fontId="2" fillId="4" borderId="0" xfId="0" applyFont="1" applyFill="1" applyBorder="1"/>
    <xf numFmtId="0" fontId="2" fillId="6" borderId="0" xfId="0" applyFont="1" applyFill="1" applyBorder="1"/>
    <xf numFmtId="0" fontId="2" fillId="8" borderId="0" xfId="0" applyFont="1" applyFill="1" applyBorder="1"/>
    <xf numFmtId="0" fontId="6" fillId="8" borderId="0" xfId="0" applyFont="1" applyFill="1" applyBorder="1"/>
    <xf numFmtId="0" fontId="6" fillId="6" borderId="0" xfId="0" applyFont="1" applyFill="1" applyBorder="1"/>
    <xf numFmtId="0" fontId="2" fillId="10" borderId="0" xfId="0" applyFont="1" applyFill="1"/>
    <xf numFmtId="0" fontId="2" fillId="11" borderId="0" xfId="0" applyFont="1" applyFill="1"/>
    <xf numFmtId="0" fontId="2" fillId="12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6" fillId="0" borderId="0" xfId="0" applyFont="1"/>
    <xf numFmtId="0" fontId="2" fillId="10" borderId="0" xfId="0" applyFont="1" applyFill="1" applyBorder="1"/>
    <xf numFmtId="0" fontId="2" fillId="10" borderId="4" xfId="0" applyFont="1" applyFill="1" applyBorder="1"/>
    <xf numFmtId="0" fontId="8" fillId="3" borderId="0" xfId="0" applyFont="1" applyFill="1" applyBorder="1" applyAlignment="1">
      <alignment vertical="center"/>
    </xf>
    <xf numFmtId="0" fontId="8" fillId="0" borderId="0" xfId="0" applyFont="1"/>
    <xf numFmtId="0" fontId="9" fillId="9" borderId="0" xfId="0" applyFont="1" applyFill="1"/>
    <xf numFmtId="0" fontId="9" fillId="0" borderId="0" xfId="0" applyFont="1" applyFill="1"/>
    <xf numFmtId="0" fontId="3" fillId="0" borderId="0" xfId="0" applyFont="1" applyFill="1"/>
    <xf numFmtId="0" fontId="2" fillId="0" borderId="0" xfId="0" applyNumberFormat="1" applyFont="1" applyBorder="1"/>
    <xf numFmtId="0" fontId="7" fillId="0" borderId="0" xfId="0" applyFont="1"/>
    <xf numFmtId="0" fontId="8" fillId="0" borderId="0" xfId="0" applyFont="1" applyBorder="1"/>
    <xf numFmtId="0" fontId="2" fillId="12" borderId="0" xfId="0" applyFont="1" applyFill="1" applyBorder="1"/>
    <xf numFmtId="165" fontId="2" fillId="0" borderId="0" xfId="0" applyNumberFormat="1" applyFont="1"/>
    <xf numFmtId="166" fontId="2" fillId="0" borderId="0" xfId="0" applyNumberFormat="1" applyFont="1"/>
    <xf numFmtId="165" fontId="2" fillId="4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2" fillId="11" borderId="0" xfId="0" applyFont="1" applyFill="1" applyBorder="1"/>
    <xf numFmtId="0" fontId="2" fillId="0" borderId="2" xfId="0" applyFont="1" applyFill="1" applyBorder="1"/>
    <xf numFmtId="0" fontId="9" fillId="13" borderId="0" xfId="0" applyFont="1" applyFill="1"/>
    <xf numFmtId="0" fontId="9" fillId="0" borderId="0" xfId="0" applyFont="1"/>
    <xf numFmtId="0" fontId="7" fillId="14" borderId="0" xfId="0" applyFont="1" applyFill="1" applyAlignment="1">
      <alignment vertical="center"/>
    </xf>
    <xf numFmtId="0" fontId="7" fillId="15" borderId="0" xfId="0" applyFont="1" applyFill="1" applyAlignment="1">
      <alignment vertical="center"/>
    </xf>
    <xf numFmtId="0" fontId="10" fillId="0" borderId="0" xfId="0" applyFont="1"/>
    <xf numFmtId="0" fontId="2" fillId="0" borderId="0" xfId="0" applyNumberFormat="1" applyFont="1"/>
    <xf numFmtId="0" fontId="7" fillId="0" borderId="2" xfId="0" applyFont="1" applyBorder="1"/>
    <xf numFmtId="0" fontId="10" fillId="0" borderId="2" xfId="0" applyFont="1" applyBorder="1"/>
    <xf numFmtId="0" fontId="6" fillId="17" borderId="0" xfId="0" applyFont="1" applyFill="1" applyBorder="1"/>
    <xf numFmtId="0" fontId="6" fillId="17" borderId="0" xfId="0" applyFont="1" applyFill="1" applyBorder="1" applyAlignment="1">
      <alignment vertical="center"/>
    </xf>
    <xf numFmtId="0" fontId="6" fillId="2" borderId="0" xfId="0" applyFont="1" applyFill="1" applyBorder="1"/>
    <xf numFmtId="0" fontId="2" fillId="17" borderId="0" xfId="0" applyFont="1" applyFill="1" applyBorder="1"/>
    <xf numFmtId="0" fontId="6" fillId="6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18" borderId="0" xfId="0" applyFont="1" applyFill="1" applyAlignment="1">
      <alignment vertical="center"/>
    </xf>
    <xf numFmtId="0" fontId="6" fillId="19" borderId="0" xfId="0" applyFont="1" applyFill="1" applyAlignment="1">
      <alignment vertical="center"/>
    </xf>
    <xf numFmtId="0" fontId="2" fillId="2" borderId="0" xfId="0" applyFont="1" applyFill="1"/>
    <xf numFmtId="0" fontId="3" fillId="0" borderId="2" xfId="0" applyFont="1" applyFill="1" applyBorder="1"/>
    <xf numFmtId="0" fontId="2" fillId="0" borderId="5" xfId="0" applyFont="1" applyBorder="1"/>
    <xf numFmtId="0" fontId="3" fillId="0" borderId="0" xfId="0" applyNumberFormat="1" applyFont="1" applyBorder="1"/>
    <xf numFmtId="0" fontId="3" fillId="0" borderId="1" xfId="0" applyNumberFormat="1" applyFont="1" applyBorder="1"/>
    <xf numFmtId="167" fontId="2" fillId="5" borderId="0" xfId="0" applyNumberFormat="1" applyFont="1" applyFill="1" applyAlignment="1">
      <alignment vertical="center"/>
    </xf>
    <xf numFmtId="167" fontId="2" fillId="5" borderId="0" xfId="0" applyNumberFormat="1" applyFont="1" applyFill="1" applyBorder="1" applyAlignment="1">
      <alignment vertical="center"/>
    </xf>
    <xf numFmtId="167" fontId="2" fillId="5" borderId="0" xfId="1" applyNumberFormat="1" applyFont="1" applyFill="1" applyBorder="1" applyAlignment="1">
      <alignment vertical="center"/>
    </xf>
    <xf numFmtId="167" fontId="2" fillId="0" borderId="0" xfId="0" applyNumberFormat="1" applyFont="1" applyBorder="1"/>
    <xf numFmtId="167" fontId="3" fillId="0" borderId="0" xfId="0" applyNumberFormat="1" applyFont="1" applyFill="1" applyBorder="1"/>
    <xf numFmtId="167" fontId="3" fillId="0" borderId="0" xfId="0" applyNumberFormat="1" applyFont="1" applyBorder="1"/>
    <xf numFmtId="167" fontId="6" fillId="5" borderId="0" xfId="0" applyNumberFormat="1" applyFont="1" applyFill="1" applyBorder="1" applyAlignment="1">
      <alignment vertical="center"/>
    </xf>
    <xf numFmtId="167" fontId="2" fillId="5" borderId="0" xfId="0" applyNumberFormat="1" applyFont="1" applyFill="1" applyBorder="1"/>
    <xf numFmtId="167" fontId="2" fillId="0" borderId="0" xfId="0" applyNumberFormat="1" applyFont="1" applyFill="1" applyBorder="1" applyAlignment="1">
      <alignment vertical="center"/>
    </xf>
    <xf numFmtId="167" fontId="8" fillId="5" borderId="0" xfId="0" applyNumberFormat="1" applyFont="1" applyFill="1" applyAlignment="1">
      <alignment vertical="center"/>
    </xf>
    <xf numFmtId="167" fontId="8" fillId="5" borderId="0" xfId="0" applyNumberFormat="1" applyFont="1" applyFill="1" applyBorder="1" applyAlignment="1">
      <alignment vertical="center"/>
    </xf>
    <xf numFmtId="167" fontId="6" fillId="5" borderId="0" xfId="0" applyNumberFormat="1" applyFont="1" applyFill="1" applyAlignment="1">
      <alignment vertical="center"/>
    </xf>
    <xf numFmtId="167" fontId="7" fillId="16" borderId="0" xfId="0" applyNumberFormat="1" applyFont="1" applyFill="1" applyAlignment="1">
      <alignment vertical="center"/>
    </xf>
    <xf numFmtId="0" fontId="7" fillId="19" borderId="0" xfId="0" applyFont="1" applyFill="1"/>
    <xf numFmtId="0" fontId="7" fillId="20" borderId="0" xfId="0" applyFont="1" applyFill="1"/>
    <xf numFmtId="167" fontId="2" fillId="0" borderId="0" xfId="0" applyNumberFormat="1" applyFont="1" applyFill="1" applyBorder="1"/>
    <xf numFmtId="0" fontId="7" fillId="0" borderId="0" xfId="0" applyFont="1" applyFill="1"/>
    <xf numFmtId="0" fontId="11" fillId="0" borderId="0" xfId="0" applyFont="1"/>
    <xf numFmtId="0" fontId="6" fillId="17" borderId="0" xfId="0" applyFont="1" applyFill="1"/>
    <xf numFmtId="0" fontId="2" fillId="17" borderId="0" xfId="0" applyFont="1" applyFill="1" applyAlignment="1">
      <alignment vertical="center"/>
    </xf>
    <xf numFmtId="0" fontId="2" fillId="17" borderId="0" xfId="0" applyFont="1" applyFill="1"/>
    <xf numFmtId="0" fontId="2" fillId="0" borderId="0" xfId="0" applyFont="1" applyFill="1" applyAlignment="1">
      <alignment vertical="center"/>
    </xf>
    <xf numFmtId="0" fontId="6" fillId="20" borderId="0" xfId="0" applyFont="1" applyFill="1" applyAlignment="1">
      <alignment vertical="center"/>
    </xf>
    <xf numFmtId="0" fontId="2" fillId="21" borderId="0" xfId="0" applyFont="1" applyFill="1" applyBorder="1"/>
    <xf numFmtId="0" fontId="2" fillId="21" borderId="0" xfId="0" applyFont="1" applyFill="1"/>
    <xf numFmtId="0" fontId="6" fillId="0" borderId="0" xfId="0" applyFont="1" applyFill="1" applyBorder="1" applyAlignment="1">
      <alignment vertical="center"/>
    </xf>
    <xf numFmtId="0" fontId="2" fillId="22" borderId="0" xfId="0" applyFont="1" applyFill="1" applyBorder="1"/>
    <xf numFmtId="0" fontId="3" fillId="0" borderId="0" xfId="0" applyFont="1" applyAlignment="1"/>
    <xf numFmtId="0" fontId="2" fillId="0" borderId="2" xfId="0" applyFont="1" applyFill="1" applyBorder="1" applyAlignment="1">
      <alignment vertical="center"/>
    </xf>
    <xf numFmtId="165" fontId="2" fillId="0" borderId="0" xfId="0" applyNumberFormat="1" applyFont="1" applyBorder="1"/>
    <xf numFmtId="0" fontId="3" fillId="9" borderId="0" xfId="0" applyFont="1" applyFill="1"/>
    <xf numFmtId="0" fontId="6" fillId="0" borderId="0" xfId="0" applyFont="1" applyFill="1" applyAlignment="1">
      <alignment vertical="center"/>
    </xf>
    <xf numFmtId="167" fontId="2" fillId="23" borderId="0" xfId="0" applyNumberFormat="1" applyFont="1" applyFill="1" applyBorder="1" applyAlignment="1">
      <alignment vertical="center"/>
    </xf>
    <xf numFmtId="1" fontId="2" fillId="23" borderId="0" xfId="0" applyNumberFormat="1" applyFont="1" applyFill="1" applyBorder="1"/>
    <xf numFmtId="0" fontId="2" fillId="23" borderId="0" xfId="0" applyNumberFormat="1" applyFont="1" applyFill="1" applyBorder="1"/>
    <xf numFmtId="0" fontId="2" fillId="0" borderId="0" xfId="0" applyNumberFormat="1" applyFont="1" applyFill="1" applyBorder="1"/>
    <xf numFmtId="168" fontId="2" fillId="0" borderId="0" xfId="0" applyNumberFormat="1" applyFont="1" applyFill="1" applyBorder="1"/>
    <xf numFmtId="0" fontId="7" fillId="2" borderId="0" xfId="0" applyFont="1" applyFill="1"/>
    <xf numFmtId="167" fontId="2" fillId="3" borderId="0" xfId="0" applyNumberFormat="1" applyFont="1" applyFill="1" applyBorder="1"/>
    <xf numFmtId="165" fontId="2" fillId="4" borderId="0" xfId="0" applyNumberFormat="1" applyFont="1" applyFill="1" applyBorder="1"/>
    <xf numFmtId="0" fontId="14" fillId="4" borderId="0" xfId="0" applyFont="1" applyFill="1" applyBorder="1"/>
    <xf numFmtId="0" fontId="2" fillId="5" borderId="0" xfId="0" applyNumberFormat="1" applyFont="1" applyFill="1" applyBorder="1"/>
    <xf numFmtId="0" fontId="3" fillId="0" borderId="0" xfId="0" applyFont="1" applyAlignment="1">
      <alignment horizontal="center"/>
    </xf>
  </cellXfs>
  <cellStyles count="1810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Besuchter Hyperlink" xfId="37" builtinId="9" hidden="1"/>
    <cellStyle name="Besuchter Hyperlink" xfId="39" builtinId="9" hidden="1"/>
    <cellStyle name="Besuchter Hyperlink" xfId="41" builtinId="9" hidden="1"/>
    <cellStyle name="Besuchter Hyperlink" xfId="43" builtinId="9" hidden="1"/>
    <cellStyle name="Besuchter Hyperlink" xfId="45" builtinId="9" hidden="1"/>
    <cellStyle name="Besuchter Hyperlink" xfId="47" builtinId="9" hidden="1"/>
    <cellStyle name="Besuchter Hyperlink" xfId="49" builtinId="9" hidden="1"/>
    <cellStyle name="Besuchter Hyperlink" xfId="51" builtinId="9" hidden="1"/>
    <cellStyle name="Besuchter Hyperlink" xfId="53" builtinId="9" hidden="1"/>
    <cellStyle name="Besuchter Hyperlink" xfId="55" builtinId="9" hidden="1"/>
    <cellStyle name="Besuchter Hyperlink" xfId="57" builtinId="9" hidden="1"/>
    <cellStyle name="Besuchter Hyperlink" xfId="59" builtinId="9" hidden="1"/>
    <cellStyle name="Besuchter Hyperlink" xfId="61" builtinId="9" hidden="1"/>
    <cellStyle name="Besuchter Hyperlink" xfId="63" builtinId="9" hidden="1"/>
    <cellStyle name="Besuchter Hyperlink" xfId="65" builtinId="9" hidden="1"/>
    <cellStyle name="Besuchter Hyperlink" xfId="67" builtinId="9" hidden="1"/>
    <cellStyle name="Besuchter Hyperlink" xfId="69" builtinId="9" hidden="1"/>
    <cellStyle name="Besuchter Hyperlink" xfId="71" builtinId="9" hidden="1"/>
    <cellStyle name="Besuchter Hyperlink" xfId="73" builtinId="9" hidden="1"/>
    <cellStyle name="Besuchter Hyperlink" xfId="75" builtinId="9" hidden="1"/>
    <cellStyle name="Besuchter Hyperlink" xfId="77" builtinId="9" hidden="1"/>
    <cellStyle name="Besuchter Hyperlink" xfId="79" builtinId="9" hidden="1"/>
    <cellStyle name="Besuchter Hyperlink" xfId="81" builtinId="9" hidden="1"/>
    <cellStyle name="Besuchter Hyperlink" xfId="83" builtinId="9" hidden="1"/>
    <cellStyle name="Besuchter Hyperlink" xfId="85" builtinId="9" hidden="1"/>
    <cellStyle name="Besuchter Hyperlink" xfId="87" builtinId="9" hidden="1"/>
    <cellStyle name="Besuchter Hyperlink" xfId="89" builtinId="9" hidden="1"/>
    <cellStyle name="Besuchter Hyperlink" xfId="91" builtinId="9" hidden="1"/>
    <cellStyle name="Besuchter Hyperlink" xfId="93" builtinId="9" hidden="1"/>
    <cellStyle name="Besuchter Hyperlink" xfId="95" builtinId="9" hidden="1"/>
    <cellStyle name="Besuchter Hyperlink" xfId="97" builtinId="9" hidden="1"/>
    <cellStyle name="Besuchter Hyperlink" xfId="99" builtinId="9" hidden="1"/>
    <cellStyle name="Besuchter Hyperlink" xfId="101" builtinId="9" hidden="1"/>
    <cellStyle name="Besuchter Hyperlink" xfId="103" builtinId="9" hidden="1"/>
    <cellStyle name="Besuchter Hyperlink" xfId="105" builtinId="9" hidden="1"/>
    <cellStyle name="Besuchter Hyperlink" xfId="107" builtinId="9" hidden="1"/>
    <cellStyle name="Besuchter Hyperlink" xfId="109" builtinId="9" hidden="1"/>
    <cellStyle name="Besuchter Hyperlink" xfId="111" builtinId="9" hidden="1"/>
    <cellStyle name="Besuchter Hyperlink" xfId="113" builtinId="9" hidden="1"/>
    <cellStyle name="Besuchter Hyperlink" xfId="115" builtinId="9" hidden="1"/>
    <cellStyle name="Besuchter Hyperlink" xfId="117" builtinId="9" hidden="1"/>
    <cellStyle name="Besuchter Hyperlink" xfId="119" builtinId="9" hidden="1"/>
    <cellStyle name="Besuchter Hyperlink" xfId="121" builtinId="9" hidden="1"/>
    <cellStyle name="Besuchter Hyperlink" xfId="123" builtinId="9" hidden="1"/>
    <cellStyle name="Besuchter Hyperlink" xfId="125" builtinId="9" hidden="1"/>
    <cellStyle name="Besuchter Hyperlink" xfId="127" builtinId="9" hidden="1"/>
    <cellStyle name="Besuchter Hyperlink" xfId="129" builtinId="9" hidden="1"/>
    <cellStyle name="Besuchter Hyperlink" xfId="131" builtinId="9" hidden="1"/>
    <cellStyle name="Besuchter Hyperlink" xfId="133" builtinId="9" hidden="1"/>
    <cellStyle name="Besuchter Hyperlink" xfId="135" builtinId="9" hidden="1"/>
    <cellStyle name="Besuchter Hyperlink" xfId="137" builtinId="9" hidden="1"/>
    <cellStyle name="Besuchter Hyperlink" xfId="139" builtinId="9" hidden="1"/>
    <cellStyle name="Besuchter Hyperlink" xfId="141" builtinId="9" hidden="1"/>
    <cellStyle name="Besuchter Hyperlink" xfId="143" builtinId="9" hidden="1"/>
    <cellStyle name="Besuchter Hyperlink" xfId="145" builtinId="9" hidden="1"/>
    <cellStyle name="Besuchter Hyperlink" xfId="147" builtinId="9" hidden="1"/>
    <cellStyle name="Besuchter Hyperlink" xfId="149" builtinId="9" hidden="1"/>
    <cellStyle name="Besuchter Hyperlink" xfId="151" builtinId="9" hidden="1"/>
    <cellStyle name="Besuchter Hyperlink" xfId="153" builtinId="9" hidden="1"/>
    <cellStyle name="Besuchter Hyperlink" xfId="155" builtinId="9" hidden="1"/>
    <cellStyle name="Besuchter Hyperlink" xfId="157" builtinId="9" hidden="1"/>
    <cellStyle name="Besuchter Hyperlink" xfId="159" builtinId="9" hidden="1"/>
    <cellStyle name="Besuchter Hyperlink" xfId="161" builtinId="9" hidden="1"/>
    <cellStyle name="Besuchter Hyperlink" xfId="163" builtinId="9" hidden="1"/>
    <cellStyle name="Besuchter Hyperlink" xfId="165" builtinId="9" hidden="1"/>
    <cellStyle name="Besuchter Hyperlink" xfId="167" builtinId="9" hidden="1"/>
    <cellStyle name="Besuchter Hyperlink" xfId="169" builtinId="9" hidden="1"/>
    <cellStyle name="Besuchter Hyperlink" xfId="171" builtinId="9" hidden="1"/>
    <cellStyle name="Besuchter Hyperlink" xfId="173" builtinId="9" hidden="1"/>
    <cellStyle name="Besuchter Hyperlink" xfId="175" builtinId="9" hidden="1"/>
    <cellStyle name="Besuchter Hyperlink" xfId="177" builtinId="9" hidden="1"/>
    <cellStyle name="Besuchter Hyperlink" xfId="179" builtinId="9" hidden="1"/>
    <cellStyle name="Besuchter Hyperlink" xfId="181" builtinId="9" hidden="1"/>
    <cellStyle name="Besuchter Hyperlink" xfId="183" builtinId="9" hidden="1"/>
    <cellStyle name="Besuchter Hyperlink" xfId="185" builtinId="9" hidden="1"/>
    <cellStyle name="Besuchter Hyperlink" xfId="187" builtinId="9" hidden="1"/>
    <cellStyle name="Besuchter Hyperlink" xfId="189" builtinId="9" hidden="1"/>
    <cellStyle name="Besuchter Hyperlink" xfId="191" builtinId="9" hidden="1"/>
    <cellStyle name="Besuchter Hyperlink" xfId="193" builtinId="9" hidden="1"/>
    <cellStyle name="Besuchter Hyperlink" xfId="195" builtinId="9" hidden="1"/>
    <cellStyle name="Besuchter Hyperlink" xfId="197" builtinId="9" hidden="1"/>
    <cellStyle name="Besuchter Hyperlink" xfId="199" builtinId="9" hidden="1"/>
    <cellStyle name="Besuchter Hyperlink" xfId="201" builtinId="9" hidden="1"/>
    <cellStyle name="Besuchter Hyperlink" xfId="203" builtinId="9" hidden="1"/>
    <cellStyle name="Besuchter Hyperlink" xfId="205" builtinId="9" hidden="1"/>
    <cellStyle name="Besuchter Hyperlink" xfId="207" builtinId="9" hidden="1"/>
    <cellStyle name="Besuchter Hyperlink" xfId="209" builtinId="9" hidden="1"/>
    <cellStyle name="Besuchter Hyperlink" xfId="211" builtinId="9" hidden="1"/>
    <cellStyle name="Besuchter Hyperlink" xfId="213" builtinId="9" hidden="1"/>
    <cellStyle name="Besuchter Hyperlink" xfId="215" builtinId="9" hidden="1"/>
    <cellStyle name="Besuchter Hyperlink" xfId="217" builtinId="9" hidden="1"/>
    <cellStyle name="Besuchter Hyperlink" xfId="219" builtinId="9" hidden="1"/>
    <cellStyle name="Besuchter Hyperlink" xfId="221" builtinId="9" hidden="1"/>
    <cellStyle name="Besuchter Hyperlink" xfId="223" builtinId="9" hidden="1"/>
    <cellStyle name="Besuchter Hyperlink" xfId="225" builtinId="9" hidden="1"/>
    <cellStyle name="Besuchter Hyperlink" xfId="227" builtinId="9" hidden="1"/>
    <cellStyle name="Besuchter Hyperlink" xfId="229" builtinId="9" hidden="1"/>
    <cellStyle name="Besuchter Hyperlink" xfId="231" builtinId="9" hidden="1"/>
    <cellStyle name="Besuchter Hyperlink" xfId="233" builtinId="9" hidden="1"/>
    <cellStyle name="Besuchter Hyperlink" xfId="235" builtinId="9" hidden="1"/>
    <cellStyle name="Besuchter Hyperlink" xfId="237" builtinId="9" hidden="1"/>
    <cellStyle name="Besuchter Hyperlink" xfId="239" builtinId="9" hidden="1"/>
    <cellStyle name="Besuchter Hyperlink" xfId="241" builtinId="9" hidden="1"/>
    <cellStyle name="Besuchter Hyperlink" xfId="243" builtinId="9" hidden="1"/>
    <cellStyle name="Besuchter Hyperlink" xfId="245" builtinId="9" hidden="1"/>
    <cellStyle name="Besuchter Hyperlink" xfId="247" builtinId="9" hidden="1"/>
    <cellStyle name="Besuchter Hyperlink" xfId="249" builtinId="9" hidden="1"/>
    <cellStyle name="Besuchter Hyperlink" xfId="251" builtinId="9" hidden="1"/>
    <cellStyle name="Besuchter Hyperlink" xfId="253" builtinId="9" hidden="1"/>
    <cellStyle name="Besuchter Hyperlink" xfId="255" builtinId="9" hidden="1"/>
    <cellStyle name="Besuchter Hyperlink" xfId="257" builtinId="9" hidden="1"/>
    <cellStyle name="Besuchter Hyperlink" xfId="259" builtinId="9" hidden="1"/>
    <cellStyle name="Besuchter Hyperlink" xfId="261" builtinId="9" hidden="1"/>
    <cellStyle name="Besuchter Hyperlink" xfId="263" builtinId="9" hidden="1"/>
    <cellStyle name="Besuchter Hyperlink" xfId="265" builtinId="9" hidden="1"/>
    <cellStyle name="Besuchter Hyperlink" xfId="267" builtinId="9" hidden="1"/>
    <cellStyle name="Besuchter Hyperlink" xfId="269" builtinId="9" hidden="1"/>
    <cellStyle name="Besuchter Hyperlink" xfId="271" builtinId="9" hidden="1"/>
    <cellStyle name="Besuchter Hyperlink" xfId="273" builtinId="9" hidden="1"/>
    <cellStyle name="Besuchter Hyperlink" xfId="275" builtinId="9" hidden="1"/>
    <cellStyle name="Besuchter Hyperlink" xfId="277" builtinId="9" hidden="1"/>
    <cellStyle name="Besuchter Hyperlink" xfId="279" builtinId="9" hidden="1"/>
    <cellStyle name="Besuchter Hyperlink" xfId="281" builtinId="9" hidden="1"/>
    <cellStyle name="Besuchter Hyperlink" xfId="283" builtinId="9" hidden="1"/>
    <cellStyle name="Besuchter Hyperlink" xfId="285" builtinId="9" hidden="1"/>
    <cellStyle name="Besuchter Hyperlink" xfId="287" builtinId="9" hidden="1"/>
    <cellStyle name="Besuchter Hyperlink" xfId="289" builtinId="9" hidden="1"/>
    <cellStyle name="Besuchter Hyperlink" xfId="291" builtinId="9" hidden="1"/>
    <cellStyle name="Besuchter Hyperlink" xfId="293" builtinId="9" hidden="1"/>
    <cellStyle name="Besuchter Hyperlink" xfId="295" builtinId="9" hidden="1"/>
    <cellStyle name="Besuchter Hyperlink" xfId="297" builtinId="9" hidden="1"/>
    <cellStyle name="Besuchter Hyperlink" xfId="299" builtinId="9" hidden="1"/>
    <cellStyle name="Besuchter Hyperlink" xfId="301" builtinId="9" hidden="1"/>
    <cellStyle name="Besuchter Hyperlink" xfId="303" builtinId="9" hidden="1"/>
    <cellStyle name="Besuchter Hyperlink" xfId="305" builtinId="9" hidden="1"/>
    <cellStyle name="Besuchter Hyperlink" xfId="307" builtinId="9" hidden="1"/>
    <cellStyle name="Besuchter Hyperlink" xfId="309" builtinId="9" hidden="1"/>
    <cellStyle name="Besuchter Hyperlink" xfId="311" builtinId="9" hidden="1"/>
    <cellStyle name="Besuchter Hyperlink" xfId="313" builtinId="9" hidden="1"/>
    <cellStyle name="Besuchter Hyperlink" xfId="315" builtinId="9" hidden="1"/>
    <cellStyle name="Besuchter Hyperlink" xfId="317" builtinId="9" hidden="1"/>
    <cellStyle name="Besuchter Hyperlink" xfId="319" builtinId="9" hidden="1"/>
    <cellStyle name="Besuchter Hyperlink" xfId="321" builtinId="9" hidden="1"/>
    <cellStyle name="Besuchter Hyperlink" xfId="323" builtinId="9" hidden="1"/>
    <cellStyle name="Besuchter Hyperlink" xfId="325" builtinId="9" hidden="1"/>
    <cellStyle name="Besuchter Hyperlink" xfId="327" builtinId="9" hidden="1"/>
    <cellStyle name="Besuchter Hyperlink" xfId="329" builtinId="9" hidden="1"/>
    <cellStyle name="Besuchter Hyperlink" xfId="331" builtinId="9" hidden="1"/>
    <cellStyle name="Besuchter Hyperlink" xfId="333" builtinId="9" hidden="1"/>
    <cellStyle name="Besuchter Hyperlink" xfId="335" builtinId="9" hidden="1"/>
    <cellStyle name="Besuchter Hyperlink" xfId="337" builtinId="9" hidden="1"/>
    <cellStyle name="Besuchter Hyperlink" xfId="339" builtinId="9" hidden="1"/>
    <cellStyle name="Besuchter Hyperlink" xfId="341" builtinId="9" hidden="1"/>
    <cellStyle name="Besuchter Hyperlink" xfId="343" builtinId="9" hidden="1"/>
    <cellStyle name="Besuchter Hyperlink" xfId="345" builtinId="9" hidden="1"/>
    <cellStyle name="Besuchter Hyperlink" xfId="347" builtinId="9" hidden="1"/>
    <cellStyle name="Besuchter Hyperlink" xfId="349" builtinId="9" hidden="1"/>
    <cellStyle name="Besuchter Hyperlink" xfId="351" builtinId="9" hidden="1"/>
    <cellStyle name="Besuchter Hyperlink" xfId="353" builtinId="9" hidden="1"/>
    <cellStyle name="Besuchter Hyperlink" xfId="355" builtinId="9" hidden="1"/>
    <cellStyle name="Besuchter Hyperlink" xfId="357" builtinId="9" hidden="1"/>
    <cellStyle name="Besuchter Hyperlink" xfId="359" builtinId="9" hidden="1"/>
    <cellStyle name="Besuchter Hyperlink" xfId="361" builtinId="9" hidden="1"/>
    <cellStyle name="Besuchter Hyperlink" xfId="363" builtinId="9" hidden="1"/>
    <cellStyle name="Besuchter Hyperlink" xfId="365" builtinId="9" hidden="1"/>
    <cellStyle name="Besuchter Hyperlink" xfId="367" builtinId="9" hidden="1"/>
    <cellStyle name="Besuchter Hyperlink" xfId="369" builtinId="9" hidden="1"/>
    <cellStyle name="Besuchter Hyperlink" xfId="371" builtinId="9" hidden="1"/>
    <cellStyle name="Besuchter Hyperlink" xfId="373" builtinId="9" hidden="1"/>
    <cellStyle name="Besuchter Hyperlink" xfId="375" builtinId="9" hidden="1"/>
    <cellStyle name="Besuchter Hyperlink" xfId="377" builtinId="9" hidden="1"/>
    <cellStyle name="Besuchter Hyperlink" xfId="379" builtinId="9" hidden="1"/>
    <cellStyle name="Besuchter Hyperlink" xfId="381" builtinId="9" hidden="1"/>
    <cellStyle name="Besuchter Hyperlink" xfId="383" builtinId="9" hidden="1"/>
    <cellStyle name="Besuchter Hyperlink" xfId="385" builtinId="9" hidden="1"/>
    <cellStyle name="Besuchter Hyperlink" xfId="387" builtinId="9" hidden="1"/>
    <cellStyle name="Besuchter Hyperlink" xfId="389" builtinId="9" hidden="1"/>
    <cellStyle name="Besuchter Hyperlink" xfId="391" builtinId="9" hidden="1"/>
    <cellStyle name="Besuchter Hyperlink" xfId="393" builtinId="9" hidden="1"/>
    <cellStyle name="Besuchter Hyperlink" xfId="395" builtinId="9" hidden="1"/>
    <cellStyle name="Besuchter Hyperlink" xfId="397" builtinId="9" hidden="1"/>
    <cellStyle name="Besuchter Hyperlink" xfId="399" builtinId="9" hidden="1"/>
    <cellStyle name="Besuchter Hyperlink" xfId="401" builtinId="9" hidden="1"/>
    <cellStyle name="Besuchter Hyperlink" xfId="403" builtinId="9" hidden="1"/>
    <cellStyle name="Besuchter Hyperlink" xfId="405" builtinId="9" hidden="1"/>
    <cellStyle name="Besuchter Hyperlink" xfId="407" builtinId="9" hidden="1"/>
    <cellStyle name="Besuchter Hyperlink" xfId="409" builtinId="9" hidden="1"/>
    <cellStyle name="Besuchter Hyperlink" xfId="411" builtinId="9" hidden="1"/>
    <cellStyle name="Besuchter Hyperlink" xfId="413" builtinId="9" hidden="1"/>
    <cellStyle name="Besuchter Hyperlink" xfId="415" builtinId="9" hidden="1"/>
    <cellStyle name="Besuchter Hyperlink" xfId="417" builtinId="9" hidden="1"/>
    <cellStyle name="Besuchter Hyperlink" xfId="419" builtinId="9" hidden="1"/>
    <cellStyle name="Besuchter Hyperlink" xfId="421" builtinId="9" hidden="1"/>
    <cellStyle name="Besuchter Hyperlink" xfId="423" builtinId="9" hidden="1"/>
    <cellStyle name="Besuchter Hyperlink" xfId="425" builtinId="9" hidden="1"/>
    <cellStyle name="Besuchter Hyperlink" xfId="427" builtinId="9" hidden="1"/>
    <cellStyle name="Besuchter Hyperlink" xfId="429" builtinId="9" hidden="1"/>
    <cellStyle name="Besuchter Hyperlink" xfId="431" builtinId="9" hidden="1"/>
    <cellStyle name="Besuchter Hyperlink" xfId="433" builtinId="9" hidden="1"/>
    <cellStyle name="Besuchter Hyperlink" xfId="435" builtinId="9" hidden="1"/>
    <cellStyle name="Besuchter Hyperlink" xfId="437" builtinId="9" hidden="1"/>
    <cellStyle name="Besuchter Hyperlink" xfId="439" builtinId="9" hidden="1"/>
    <cellStyle name="Besuchter Hyperlink" xfId="441" builtinId="9" hidden="1"/>
    <cellStyle name="Besuchter Hyperlink" xfId="443" builtinId="9" hidden="1"/>
    <cellStyle name="Besuchter Hyperlink" xfId="445" builtinId="9" hidden="1"/>
    <cellStyle name="Besuchter Hyperlink" xfId="447" builtinId="9" hidden="1"/>
    <cellStyle name="Besuchter Hyperlink" xfId="449" builtinId="9" hidden="1"/>
    <cellStyle name="Besuchter Hyperlink" xfId="451" builtinId="9" hidden="1"/>
    <cellStyle name="Besuchter Hyperlink" xfId="453" builtinId="9" hidden="1"/>
    <cellStyle name="Besuchter Hyperlink" xfId="455" builtinId="9" hidden="1"/>
    <cellStyle name="Besuchter Hyperlink" xfId="457" builtinId="9" hidden="1"/>
    <cellStyle name="Besuchter Hyperlink" xfId="459" builtinId="9" hidden="1"/>
    <cellStyle name="Besuchter Hyperlink" xfId="461" builtinId="9" hidden="1"/>
    <cellStyle name="Besuchter Hyperlink" xfId="463" builtinId="9" hidden="1"/>
    <cellStyle name="Besuchter Hyperlink" xfId="465" builtinId="9" hidden="1"/>
    <cellStyle name="Besuchter Hyperlink" xfId="467" builtinId="9" hidden="1"/>
    <cellStyle name="Besuchter Hyperlink" xfId="469" builtinId="9" hidden="1"/>
    <cellStyle name="Besuchter Hyperlink" xfId="471" builtinId="9" hidden="1"/>
    <cellStyle name="Besuchter Hyperlink" xfId="473" builtinId="9" hidden="1"/>
    <cellStyle name="Besuchter Hyperlink" xfId="475" builtinId="9" hidden="1"/>
    <cellStyle name="Besuchter Hyperlink" xfId="477" builtinId="9" hidden="1"/>
    <cellStyle name="Besuchter Hyperlink" xfId="479" builtinId="9" hidden="1"/>
    <cellStyle name="Besuchter Hyperlink" xfId="481" builtinId="9" hidden="1"/>
    <cellStyle name="Besuchter Hyperlink" xfId="483" builtinId="9" hidden="1"/>
    <cellStyle name="Besuchter Hyperlink" xfId="485" builtinId="9" hidden="1"/>
    <cellStyle name="Besuchter Hyperlink" xfId="487" builtinId="9" hidden="1"/>
    <cellStyle name="Besuchter Hyperlink" xfId="489" builtinId="9" hidden="1"/>
    <cellStyle name="Besuchter Hyperlink" xfId="491" builtinId="9" hidden="1"/>
    <cellStyle name="Besuchter Hyperlink" xfId="493" builtinId="9" hidden="1"/>
    <cellStyle name="Besuchter Hyperlink" xfId="495" builtinId="9" hidden="1"/>
    <cellStyle name="Besuchter Hyperlink" xfId="497" builtinId="9" hidden="1"/>
    <cellStyle name="Besuchter Hyperlink" xfId="499" builtinId="9" hidden="1"/>
    <cellStyle name="Besuchter Hyperlink" xfId="501" builtinId="9" hidden="1"/>
    <cellStyle name="Besuchter Hyperlink" xfId="503" builtinId="9" hidden="1"/>
    <cellStyle name="Besuchter Hyperlink" xfId="505" builtinId="9" hidden="1"/>
    <cellStyle name="Besuchter Hyperlink" xfId="507" builtinId="9" hidden="1"/>
    <cellStyle name="Besuchter Hyperlink" xfId="509" builtinId="9" hidden="1"/>
    <cellStyle name="Besuchter Hyperlink" xfId="511" builtinId="9" hidden="1"/>
    <cellStyle name="Besuchter Hyperlink" xfId="513" builtinId="9" hidden="1"/>
    <cellStyle name="Besuchter Hyperlink" xfId="515" builtinId="9" hidden="1"/>
    <cellStyle name="Besuchter Hyperlink" xfId="517" builtinId="9" hidden="1"/>
    <cellStyle name="Besuchter Hyperlink" xfId="519" builtinId="9" hidden="1"/>
    <cellStyle name="Besuchter Hyperlink" xfId="521" builtinId="9" hidden="1"/>
    <cellStyle name="Besuchter Hyperlink" xfId="523" builtinId="9" hidden="1"/>
    <cellStyle name="Besuchter Hyperlink" xfId="525" builtinId="9" hidden="1"/>
    <cellStyle name="Besuchter Hyperlink" xfId="527" builtinId="9" hidden="1"/>
    <cellStyle name="Besuchter Hyperlink" xfId="529" builtinId="9" hidden="1"/>
    <cellStyle name="Besuchter Hyperlink" xfId="531" builtinId="9" hidden="1"/>
    <cellStyle name="Besuchter Hyperlink" xfId="533" builtinId="9" hidden="1"/>
    <cellStyle name="Besuchter Hyperlink" xfId="535" builtinId="9" hidden="1"/>
    <cellStyle name="Besuchter Hyperlink" xfId="537" builtinId="9" hidden="1"/>
    <cellStyle name="Besuchter Hyperlink" xfId="539" builtinId="9" hidden="1"/>
    <cellStyle name="Besuchter Hyperlink" xfId="541" builtinId="9" hidden="1"/>
    <cellStyle name="Besuchter Hyperlink" xfId="543" builtinId="9" hidden="1"/>
    <cellStyle name="Besuchter Hyperlink" xfId="545" builtinId="9" hidden="1"/>
    <cellStyle name="Besuchter Hyperlink" xfId="547" builtinId="9" hidden="1"/>
    <cellStyle name="Besuchter Hyperlink" xfId="549" builtinId="9" hidden="1"/>
    <cellStyle name="Besuchter Hyperlink" xfId="551" builtinId="9" hidden="1"/>
    <cellStyle name="Besuchter Hyperlink" xfId="553" builtinId="9" hidden="1"/>
    <cellStyle name="Besuchter Hyperlink" xfId="555" builtinId="9" hidden="1"/>
    <cellStyle name="Besuchter Hyperlink" xfId="557" builtinId="9" hidden="1"/>
    <cellStyle name="Besuchter Hyperlink" xfId="559" builtinId="9" hidden="1"/>
    <cellStyle name="Besuchter Hyperlink" xfId="561" builtinId="9" hidden="1"/>
    <cellStyle name="Besuchter Hyperlink" xfId="563" builtinId="9" hidden="1"/>
    <cellStyle name="Besuchter Hyperlink" xfId="565" builtinId="9" hidden="1"/>
    <cellStyle name="Besuchter Hyperlink" xfId="567" builtinId="9" hidden="1"/>
    <cellStyle name="Besuchter Hyperlink" xfId="569" builtinId="9" hidden="1"/>
    <cellStyle name="Besuchter Hyperlink" xfId="571" builtinId="9" hidden="1"/>
    <cellStyle name="Besuchter Hyperlink" xfId="573" builtinId="9" hidden="1"/>
    <cellStyle name="Besuchter Hyperlink" xfId="575" builtinId="9" hidden="1"/>
    <cellStyle name="Besuchter Hyperlink" xfId="577" builtinId="9" hidden="1"/>
    <cellStyle name="Besuchter Hyperlink" xfId="579" builtinId="9" hidden="1"/>
    <cellStyle name="Besuchter Hyperlink" xfId="581" builtinId="9" hidden="1"/>
    <cellStyle name="Besuchter Hyperlink" xfId="583" builtinId="9" hidden="1"/>
    <cellStyle name="Besuchter Hyperlink" xfId="585" builtinId="9" hidden="1"/>
    <cellStyle name="Besuchter Hyperlink" xfId="587" builtinId="9" hidden="1"/>
    <cellStyle name="Besuchter Hyperlink" xfId="589" builtinId="9" hidden="1"/>
    <cellStyle name="Besuchter Hyperlink" xfId="591" builtinId="9" hidden="1"/>
    <cellStyle name="Besuchter Hyperlink" xfId="593" builtinId="9" hidden="1"/>
    <cellStyle name="Besuchter Hyperlink" xfId="595" builtinId="9" hidden="1"/>
    <cellStyle name="Besuchter Hyperlink" xfId="597" builtinId="9" hidden="1"/>
    <cellStyle name="Besuchter Hyperlink" xfId="599" builtinId="9" hidden="1"/>
    <cellStyle name="Besuchter Hyperlink" xfId="601" builtinId="9" hidden="1"/>
    <cellStyle name="Besuchter Hyperlink" xfId="603" builtinId="9" hidden="1"/>
    <cellStyle name="Besuchter Hyperlink" xfId="605" builtinId="9" hidden="1"/>
    <cellStyle name="Besuchter Hyperlink" xfId="607" builtinId="9" hidden="1"/>
    <cellStyle name="Besuchter Hyperlink" xfId="609" builtinId="9" hidden="1"/>
    <cellStyle name="Besuchter Hyperlink" xfId="611" builtinId="9" hidden="1"/>
    <cellStyle name="Besuchter Hyperlink" xfId="613" builtinId="9" hidden="1"/>
    <cellStyle name="Besuchter Hyperlink" xfId="615" builtinId="9" hidden="1"/>
    <cellStyle name="Besuchter Hyperlink" xfId="617" builtinId="9" hidden="1"/>
    <cellStyle name="Besuchter Hyperlink" xfId="619" builtinId="9" hidden="1"/>
    <cellStyle name="Besuchter Hyperlink" xfId="621" builtinId="9" hidden="1"/>
    <cellStyle name="Besuchter Hyperlink" xfId="623" builtinId="9" hidden="1"/>
    <cellStyle name="Besuchter Hyperlink" xfId="625" builtinId="9" hidden="1"/>
    <cellStyle name="Besuchter Hyperlink" xfId="627" builtinId="9" hidden="1"/>
    <cellStyle name="Besuchter Hyperlink" xfId="629" builtinId="9" hidden="1"/>
    <cellStyle name="Besuchter Hyperlink" xfId="631" builtinId="9" hidden="1"/>
    <cellStyle name="Besuchter Hyperlink" xfId="633" builtinId="9" hidden="1"/>
    <cellStyle name="Besuchter Hyperlink" xfId="635" builtinId="9" hidden="1"/>
    <cellStyle name="Besuchter Hyperlink" xfId="637" builtinId="9" hidden="1"/>
    <cellStyle name="Besuchter Hyperlink" xfId="639" builtinId="9" hidden="1"/>
    <cellStyle name="Besuchter Hyperlink" xfId="641" builtinId="9" hidden="1"/>
    <cellStyle name="Besuchter Hyperlink" xfId="643" builtinId="9" hidden="1"/>
    <cellStyle name="Besuchter Hyperlink" xfId="645" builtinId="9" hidden="1"/>
    <cellStyle name="Besuchter Hyperlink" xfId="647" builtinId="9" hidden="1"/>
    <cellStyle name="Besuchter Hyperlink" xfId="649" builtinId="9" hidden="1"/>
    <cellStyle name="Besuchter Hyperlink" xfId="651" builtinId="9" hidden="1"/>
    <cellStyle name="Besuchter Hyperlink" xfId="653" builtinId="9" hidden="1"/>
    <cellStyle name="Besuchter Hyperlink" xfId="655" builtinId="9" hidden="1"/>
    <cellStyle name="Besuchter Hyperlink" xfId="657" builtinId="9" hidden="1"/>
    <cellStyle name="Besuchter Hyperlink" xfId="659" builtinId="9" hidden="1"/>
    <cellStyle name="Besuchter Hyperlink" xfId="661" builtinId="9" hidden="1"/>
    <cellStyle name="Besuchter Hyperlink" xfId="663" builtinId="9" hidden="1"/>
    <cellStyle name="Besuchter Hyperlink" xfId="665" builtinId="9" hidden="1"/>
    <cellStyle name="Besuchter Hyperlink" xfId="667" builtinId="9" hidden="1"/>
    <cellStyle name="Besuchter Hyperlink" xfId="669" builtinId="9" hidden="1"/>
    <cellStyle name="Besuchter Hyperlink" xfId="671" builtinId="9" hidden="1"/>
    <cellStyle name="Besuchter Hyperlink" xfId="673" builtinId="9" hidden="1"/>
    <cellStyle name="Besuchter Hyperlink" xfId="675" builtinId="9" hidden="1"/>
    <cellStyle name="Besuchter Hyperlink" xfId="677" builtinId="9" hidden="1"/>
    <cellStyle name="Besuchter Hyperlink" xfId="679" builtinId="9" hidden="1"/>
    <cellStyle name="Besuchter Hyperlink" xfId="681" builtinId="9" hidden="1"/>
    <cellStyle name="Besuchter Hyperlink" xfId="683" builtinId="9" hidden="1"/>
    <cellStyle name="Besuchter Hyperlink" xfId="685" builtinId="9" hidden="1"/>
    <cellStyle name="Besuchter Hyperlink" xfId="687" builtinId="9" hidden="1"/>
    <cellStyle name="Besuchter Hyperlink" xfId="689" builtinId="9" hidden="1"/>
    <cellStyle name="Besuchter Hyperlink" xfId="691" builtinId="9" hidden="1"/>
    <cellStyle name="Besuchter Hyperlink" xfId="693" builtinId="9" hidden="1"/>
    <cellStyle name="Besuchter Hyperlink" xfId="695" builtinId="9" hidden="1"/>
    <cellStyle name="Besuchter Hyperlink" xfId="697" builtinId="9" hidden="1"/>
    <cellStyle name="Besuchter Hyperlink" xfId="699" builtinId="9" hidden="1"/>
    <cellStyle name="Besuchter Hyperlink" xfId="701" builtinId="9" hidden="1"/>
    <cellStyle name="Besuchter Hyperlink" xfId="703" builtinId="9" hidden="1"/>
    <cellStyle name="Besuchter Hyperlink" xfId="705" builtinId="9" hidden="1"/>
    <cellStyle name="Besuchter Hyperlink" xfId="707" builtinId="9" hidden="1"/>
    <cellStyle name="Besuchter Hyperlink" xfId="709" builtinId="9" hidden="1"/>
    <cellStyle name="Besuchter Hyperlink" xfId="711" builtinId="9" hidden="1"/>
    <cellStyle name="Besuchter Hyperlink" xfId="713" builtinId="9" hidden="1"/>
    <cellStyle name="Besuchter Hyperlink" xfId="715" builtinId="9" hidden="1"/>
    <cellStyle name="Besuchter Hyperlink" xfId="717" builtinId="9" hidden="1"/>
    <cellStyle name="Besuchter Hyperlink" xfId="719" builtinId="9" hidden="1"/>
    <cellStyle name="Besuchter Hyperlink" xfId="721" builtinId="9" hidden="1"/>
    <cellStyle name="Besuchter Hyperlink" xfId="723" builtinId="9" hidden="1"/>
    <cellStyle name="Besuchter Hyperlink" xfId="725" builtinId="9" hidden="1"/>
    <cellStyle name="Besuchter Hyperlink" xfId="727" builtinId="9" hidden="1"/>
    <cellStyle name="Besuchter Hyperlink" xfId="729" builtinId="9" hidden="1"/>
    <cellStyle name="Besuchter Hyperlink" xfId="731" builtinId="9" hidden="1"/>
    <cellStyle name="Besuchter Hyperlink" xfId="733" builtinId="9" hidden="1"/>
    <cellStyle name="Besuchter Hyperlink" xfId="735" builtinId="9" hidden="1"/>
    <cellStyle name="Besuchter Hyperlink" xfId="737" builtinId="9" hidden="1"/>
    <cellStyle name="Besuchter Hyperlink" xfId="739" builtinId="9" hidden="1"/>
    <cellStyle name="Besuchter Hyperlink" xfId="741" builtinId="9" hidden="1"/>
    <cellStyle name="Besuchter Hyperlink" xfId="743" builtinId="9" hidden="1"/>
    <cellStyle name="Besuchter Hyperlink" xfId="745" builtinId="9" hidden="1"/>
    <cellStyle name="Besuchter Hyperlink" xfId="747" builtinId="9" hidden="1"/>
    <cellStyle name="Besuchter Hyperlink" xfId="749" builtinId="9" hidden="1"/>
    <cellStyle name="Besuchter Hyperlink" xfId="751" builtinId="9" hidden="1"/>
    <cellStyle name="Besuchter Hyperlink" xfId="753" builtinId="9" hidden="1"/>
    <cellStyle name="Besuchter Hyperlink" xfId="755" builtinId="9" hidden="1"/>
    <cellStyle name="Besuchter Hyperlink" xfId="757" builtinId="9" hidden="1"/>
    <cellStyle name="Besuchter Hyperlink" xfId="759" builtinId="9" hidden="1"/>
    <cellStyle name="Besuchter Hyperlink" xfId="761" builtinId="9" hidden="1"/>
    <cellStyle name="Besuchter Hyperlink" xfId="763" builtinId="9" hidden="1"/>
    <cellStyle name="Besuchter Hyperlink" xfId="765" builtinId="9" hidden="1"/>
    <cellStyle name="Besuchter Hyperlink" xfId="767" builtinId="9" hidden="1"/>
    <cellStyle name="Besuchter Hyperlink" xfId="769" builtinId="9" hidden="1"/>
    <cellStyle name="Besuchter Hyperlink" xfId="771" builtinId="9" hidden="1"/>
    <cellStyle name="Besuchter Hyperlink" xfId="773" builtinId="9" hidden="1"/>
    <cellStyle name="Besuchter Hyperlink" xfId="775" builtinId="9" hidden="1"/>
    <cellStyle name="Besuchter Hyperlink" xfId="777" builtinId="9" hidden="1"/>
    <cellStyle name="Besuchter Hyperlink" xfId="779" builtinId="9" hidden="1"/>
    <cellStyle name="Besuchter Hyperlink" xfId="781" builtinId="9" hidden="1"/>
    <cellStyle name="Besuchter Hyperlink" xfId="783" builtinId="9" hidden="1"/>
    <cellStyle name="Besuchter Hyperlink" xfId="785" builtinId="9" hidden="1"/>
    <cellStyle name="Besuchter Hyperlink" xfId="787" builtinId="9" hidden="1"/>
    <cellStyle name="Besuchter Hyperlink" xfId="789" builtinId="9" hidden="1"/>
    <cellStyle name="Besuchter Hyperlink" xfId="791" builtinId="9" hidden="1"/>
    <cellStyle name="Besuchter Hyperlink" xfId="793" builtinId="9" hidden="1"/>
    <cellStyle name="Besuchter Hyperlink" xfId="795" builtinId="9" hidden="1"/>
    <cellStyle name="Besuchter Hyperlink" xfId="797" builtinId="9" hidden="1"/>
    <cellStyle name="Besuchter Hyperlink" xfId="799" builtinId="9" hidden="1"/>
    <cellStyle name="Besuchter Hyperlink" xfId="801" builtinId="9" hidden="1"/>
    <cellStyle name="Besuchter Hyperlink" xfId="803" builtinId="9" hidden="1"/>
    <cellStyle name="Besuchter Hyperlink" xfId="805" builtinId="9" hidden="1"/>
    <cellStyle name="Besuchter Hyperlink" xfId="807" builtinId="9" hidden="1"/>
    <cellStyle name="Besuchter Hyperlink" xfId="809" builtinId="9" hidden="1"/>
    <cellStyle name="Besuchter Hyperlink" xfId="811" builtinId="9" hidden="1"/>
    <cellStyle name="Besuchter Hyperlink" xfId="813" builtinId="9" hidden="1"/>
    <cellStyle name="Besuchter Hyperlink" xfId="815" builtinId="9" hidden="1"/>
    <cellStyle name="Besuchter Hyperlink" xfId="817" builtinId="9" hidden="1"/>
    <cellStyle name="Besuchter Hyperlink" xfId="819" builtinId="9" hidden="1"/>
    <cellStyle name="Besuchter Hyperlink" xfId="821" builtinId="9" hidden="1"/>
    <cellStyle name="Besuchter Hyperlink" xfId="823" builtinId="9" hidden="1"/>
    <cellStyle name="Besuchter Hyperlink" xfId="825" builtinId="9" hidden="1"/>
    <cellStyle name="Besuchter Hyperlink" xfId="827" builtinId="9" hidden="1"/>
    <cellStyle name="Besuchter Hyperlink" xfId="829" builtinId="9" hidden="1"/>
    <cellStyle name="Besuchter Hyperlink" xfId="831" builtinId="9" hidden="1"/>
    <cellStyle name="Besuchter Hyperlink" xfId="833" builtinId="9" hidden="1"/>
    <cellStyle name="Besuchter Hyperlink" xfId="835" builtinId="9" hidden="1"/>
    <cellStyle name="Besuchter Hyperlink" xfId="837" builtinId="9" hidden="1"/>
    <cellStyle name="Besuchter Hyperlink" xfId="839" builtinId="9" hidden="1"/>
    <cellStyle name="Besuchter Hyperlink" xfId="841" builtinId="9" hidden="1"/>
    <cellStyle name="Besuchter Hyperlink" xfId="843" builtinId="9" hidden="1"/>
    <cellStyle name="Besuchter Hyperlink" xfId="845" builtinId="9" hidden="1"/>
    <cellStyle name="Besuchter Hyperlink" xfId="847" builtinId="9" hidden="1"/>
    <cellStyle name="Besuchter Hyperlink" xfId="849" builtinId="9" hidden="1"/>
    <cellStyle name="Besuchter Hyperlink" xfId="851" builtinId="9" hidden="1"/>
    <cellStyle name="Besuchter Hyperlink" xfId="853" builtinId="9" hidden="1"/>
    <cellStyle name="Besuchter Hyperlink" xfId="855" builtinId="9" hidden="1"/>
    <cellStyle name="Besuchter Hyperlink" xfId="857" builtinId="9" hidden="1"/>
    <cellStyle name="Besuchter Hyperlink" xfId="859" builtinId="9" hidden="1"/>
    <cellStyle name="Besuchter Hyperlink" xfId="861" builtinId="9" hidden="1"/>
    <cellStyle name="Besuchter Hyperlink" xfId="863" builtinId="9" hidden="1"/>
    <cellStyle name="Besuchter Hyperlink" xfId="865" builtinId="9" hidden="1"/>
    <cellStyle name="Besuchter Hyperlink" xfId="867" builtinId="9" hidden="1"/>
    <cellStyle name="Besuchter Hyperlink" xfId="869" builtinId="9" hidden="1"/>
    <cellStyle name="Besuchter Hyperlink" xfId="871" builtinId="9" hidden="1"/>
    <cellStyle name="Besuchter Hyperlink" xfId="873" builtinId="9" hidden="1"/>
    <cellStyle name="Besuchter Hyperlink" xfId="875" builtinId="9" hidden="1"/>
    <cellStyle name="Besuchter Hyperlink" xfId="877" builtinId="9" hidden="1"/>
    <cellStyle name="Besuchter Hyperlink" xfId="879" builtinId="9" hidden="1"/>
    <cellStyle name="Besuchter Hyperlink" xfId="881" builtinId="9" hidden="1"/>
    <cellStyle name="Besuchter Hyperlink" xfId="883" builtinId="9" hidden="1"/>
    <cellStyle name="Besuchter Hyperlink" xfId="885" builtinId="9" hidden="1"/>
    <cellStyle name="Besuchter Hyperlink" xfId="887" builtinId="9" hidden="1"/>
    <cellStyle name="Besuchter Hyperlink" xfId="889" builtinId="9" hidden="1"/>
    <cellStyle name="Besuchter Hyperlink" xfId="891" builtinId="9" hidden="1"/>
    <cellStyle name="Besuchter Hyperlink" xfId="893" builtinId="9" hidden="1"/>
    <cellStyle name="Besuchter Hyperlink" xfId="895" builtinId="9" hidden="1"/>
    <cellStyle name="Besuchter Hyperlink" xfId="897" builtinId="9" hidden="1"/>
    <cellStyle name="Besuchter Hyperlink" xfId="899" builtinId="9" hidden="1"/>
    <cellStyle name="Besuchter Hyperlink" xfId="901" builtinId="9" hidden="1"/>
    <cellStyle name="Besuchter Hyperlink" xfId="903" builtinId="9" hidden="1"/>
    <cellStyle name="Besuchter Hyperlink" xfId="905" builtinId="9" hidden="1"/>
    <cellStyle name="Besuchter Hyperlink" xfId="907" builtinId="9" hidden="1"/>
    <cellStyle name="Besuchter Hyperlink" xfId="909" builtinId="9" hidden="1"/>
    <cellStyle name="Besuchter Hyperlink" xfId="911" builtinId="9" hidden="1"/>
    <cellStyle name="Besuchter Hyperlink" xfId="913" builtinId="9" hidden="1"/>
    <cellStyle name="Besuchter Hyperlink" xfId="915" builtinId="9" hidden="1"/>
    <cellStyle name="Besuchter Hyperlink" xfId="917" builtinId="9" hidden="1"/>
    <cellStyle name="Besuchter Hyperlink" xfId="919" builtinId="9" hidden="1"/>
    <cellStyle name="Besuchter Hyperlink" xfId="921" builtinId="9" hidden="1"/>
    <cellStyle name="Besuchter Hyperlink" xfId="923" builtinId="9" hidden="1"/>
    <cellStyle name="Besuchter Hyperlink" xfId="925" builtinId="9" hidden="1"/>
    <cellStyle name="Besuchter Hyperlink" xfId="927" builtinId="9" hidden="1"/>
    <cellStyle name="Besuchter Hyperlink" xfId="929" builtinId="9" hidden="1"/>
    <cellStyle name="Besuchter Hyperlink" xfId="931" builtinId="9" hidden="1"/>
    <cellStyle name="Besuchter Hyperlink" xfId="933" builtinId="9" hidden="1"/>
    <cellStyle name="Besuchter Hyperlink" xfId="935" builtinId="9" hidden="1"/>
    <cellStyle name="Besuchter Hyperlink" xfId="937" builtinId="9" hidden="1"/>
    <cellStyle name="Besuchter Hyperlink" xfId="939" builtinId="9" hidden="1"/>
    <cellStyle name="Besuchter Hyperlink" xfId="941" builtinId="9" hidden="1"/>
    <cellStyle name="Besuchter Hyperlink" xfId="943" builtinId="9" hidden="1"/>
    <cellStyle name="Besuchter Hyperlink" xfId="945" builtinId="9" hidden="1"/>
    <cellStyle name="Besuchter Hyperlink" xfId="947" builtinId="9" hidden="1"/>
    <cellStyle name="Besuchter Hyperlink" xfId="949" builtinId="9" hidden="1"/>
    <cellStyle name="Besuchter Hyperlink" xfId="951" builtinId="9" hidden="1"/>
    <cellStyle name="Besuchter Hyperlink" xfId="953" builtinId="9" hidden="1"/>
    <cellStyle name="Besuchter Hyperlink" xfId="955" builtinId="9" hidden="1"/>
    <cellStyle name="Besuchter Hyperlink" xfId="957" builtinId="9" hidden="1"/>
    <cellStyle name="Besuchter Hyperlink" xfId="959" builtinId="9" hidden="1"/>
    <cellStyle name="Besuchter Hyperlink" xfId="961" builtinId="9" hidden="1"/>
    <cellStyle name="Besuchter Hyperlink" xfId="963" builtinId="9" hidden="1"/>
    <cellStyle name="Besuchter Hyperlink" xfId="965" builtinId="9" hidden="1"/>
    <cellStyle name="Besuchter Hyperlink" xfId="967" builtinId="9" hidden="1"/>
    <cellStyle name="Besuchter Hyperlink" xfId="969" builtinId="9" hidden="1"/>
    <cellStyle name="Besuchter Hyperlink" xfId="971" builtinId="9" hidden="1"/>
    <cellStyle name="Besuchter Hyperlink" xfId="973" builtinId="9" hidden="1"/>
    <cellStyle name="Besuchter Hyperlink" xfId="975" builtinId="9" hidden="1"/>
    <cellStyle name="Besuchter Hyperlink" xfId="977" builtinId="9" hidden="1"/>
    <cellStyle name="Besuchter Hyperlink" xfId="979" builtinId="9" hidden="1"/>
    <cellStyle name="Besuchter Hyperlink" xfId="981" builtinId="9" hidden="1"/>
    <cellStyle name="Besuchter Hyperlink" xfId="983" builtinId="9" hidden="1"/>
    <cellStyle name="Besuchter Hyperlink" xfId="985" builtinId="9" hidden="1"/>
    <cellStyle name="Besuchter Hyperlink" xfId="987" builtinId="9" hidden="1"/>
    <cellStyle name="Besuchter Hyperlink" xfId="989" builtinId="9" hidden="1"/>
    <cellStyle name="Besuchter Hyperlink" xfId="991" builtinId="9" hidden="1"/>
    <cellStyle name="Besuchter Hyperlink" xfId="993" builtinId="9" hidden="1"/>
    <cellStyle name="Besuchter Hyperlink" xfId="995" builtinId="9" hidden="1"/>
    <cellStyle name="Besuchter Hyperlink" xfId="997" builtinId="9" hidden="1"/>
    <cellStyle name="Besuchter Hyperlink" xfId="999" builtinId="9" hidden="1"/>
    <cellStyle name="Besuchter Hyperlink" xfId="1001" builtinId="9" hidden="1"/>
    <cellStyle name="Besuchter Hyperlink" xfId="1003" builtinId="9" hidden="1"/>
    <cellStyle name="Besuchter Hyperlink" xfId="1005" builtinId="9" hidden="1"/>
    <cellStyle name="Besuchter Hyperlink" xfId="1007" builtinId="9" hidden="1"/>
    <cellStyle name="Besuchter Hyperlink" xfId="1009" builtinId="9" hidden="1"/>
    <cellStyle name="Besuchter Hyperlink" xfId="1011" builtinId="9" hidden="1"/>
    <cellStyle name="Besuchter Hyperlink" xfId="1013" builtinId="9" hidden="1"/>
    <cellStyle name="Besuchter Hyperlink" xfId="1015" builtinId="9" hidden="1"/>
    <cellStyle name="Besuchter Hyperlink" xfId="1017" builtinId="9" hidden="1"/>
    <cellStyle name="Besuchter Hyperlink" xfId="1019" builtinId="9" hidden="1"/>
    <cellStyle name="Besuchter Hyperlink" xfId="1021" builtinId="9" hidden="1"/>
    <cellStyle name="Besuchter Hyperlink" xfId="1023" builtinId="9" hidden="1"/>
    <cellStyle name="Besuchter Hyperlink" xfId="1025" builtinId="9" hidden="1"/>
    <cellStyle name="Besuchter Hyperlink" xfId="1027" builtinId="9" hidden="1"/>
    <cellStyle name="Besuchter Hyperlink" xfId="1029" builtinId="9" hidden="1"/>
    <cellStyle name="Besuchter Hyperlink" xfId="1031" builtinId="9" hidden="1"/>
    <cellStyle name="Besuchter Hyperlink" xfId="1033" builtinId="9" hidden="1"/>
    <cellStyle name="Besuchter Hyperlink" xfId="1035" builtinId="9" hidden="1"/>
    <cellStyle name="Besuchter Hyperlink" xfId="1037" builtinId="9" hidden="1"/>
    <cellStyle name="Besuchter Hyperlink" xfId="1039" builtinId="9" hidden="1"/>
    <cellStyle name="Besuchter Hyperlink" xfId="1041" builtinId="9" hidden="1"/>
    <cellStyle name="Besuchter Hyperlink" xfId="1043" builtinId="9" hidden="1"/>
    <cellStyle name="Besuchter Hyperlink" xfId="1045" builtinId="9" hidden="1"/>
    <cellStyle name="Besuchter Hyperlink" xfId="1047" builtinId="9" hidden="1"/>
    <cellStyle name="Besuchter Hyperlink" xfId="1049" builtinId="9" hidden="1"/>
    <cellStyle name="Besuchter Hyperlink" xfId="1051" builtinId="9" hidden="1"/>
    <cellStyle name="Besuchter Hyperlink" xfId="1053" builtinId="9" hidden="1"/>
    <cellStyle name="Besuchter Hyperlink" xfId="1055" builtinId="9" hidden="1"/>
    <cellStyle name="Besuchter Hyperlink" xfId="1057" builtinId="9" hidden="1"/>
    <cellStyle name="Besuchter Hyperlink" xfId="1059" builtinId="9" hidden="1"/>
    <cellStyle name="Besuchter Hyperlink" xfId="1061" builtinId="9" hidden="1"/>
    <cellStyle name="Besuchter Hyperlink" xfId="1063" builtinId="9" hidden="1"/>
    <cellStyle name="Besuchter Hyperlink" xfId="1065" builtinId="9" hidden="1"/>
    <cellStyle name="Besuchter Hyperlink" xfId="1067" builtinId="9" hidden="1"/>
    <cellStyle name="Besuchter Hyperlink" xfId="1069" builtinId="9" hidden="1"/>
    <cellStyle name="Besuchter Hyperlink" xfId="1071" builtinId="9" hidden="1"/>
    <cellStyle name="Besuchter Hyperlink" xfId="1073" builtinId="9" hidden="1"/>
    <cellStyle name="Besuchter Hyperlink" xfId="1075" builtinId="9" hidden="1"/>
    <cellStyle name="Besuchter Hyperlink" xfId="1077" builtinId="9" hidden="1"/>
    <cellStyle name="Besuchter Hyperlink" xfId="1079" builtinId="9" hidden="1"/>
    <cellStyle name="Besuchter Hyperlink" xfId="1081" builtinId="9" hidden="1"/>
    <cellStyle name="Besuchter Hyperlink" xfId="1083" builtinId="9" hidden="1"/>
    <cellStyle name="Besuchter Hyperlink" xfId="1085" builtinId="9" hidden="1"/>
    <cellStyle name="Besuchter Hyperlink" xfId="1087" builtinId="9" hidden="1"/>
    <cellStyle name="Besuchter Hyperlink" xfId="1089" builtinId="9" hidden="1"/>
    <cellStyle name="Besuchter Hyperlink" xfId="1091" builtinId="9" hidden="1"/>
    <cellStyle name="Besuchter Hyperlink" xfId="1093" builtinId="9" hidden="1"/>
    <cellStyle name="Besuchter Hyperlink" xfId="1095" builtinId="9" hidden="1"/>
    <cellStyle name="Besuchter Hyperlink" xfId="1097" builtinId="9" hidden="1"/>
    <cellStyle name="Besuchter Hyperlink" xfId="1099" builtinId="9" hidden="1"/>
    <cellStyle name="Besuchter Hyperlink" xfId="1101" builtinId="9" hidden="1"/>
    <cellStyle name="Besuchter Hyperlink" xfId="1103" builtinId="9" hidden="1"/>
    <cellStyle name="Besuchter Hyperlink" xfId="1105" builtinId="9" hidden="1"/>
    <cellStyle name="Besuchter Hyperlink" xfId="1107" builtinId="9" hidden="1"/>
    <cellStyle name="Besuchter Hyperlink" xfId="1109" builtinId="9" hidden="1"/>
    <cellStyle name="Besuchter Hyperlink" xfId="1111" builtinId="9" hidden="1"/>
    <cellStyle name="Besuchter Hyperlink" xfId="1113" builtinId="9" hidden="1"/>
    <cellStyle name="Besuchter Hyperlink" xfId="1115" builtinId="9" hidden="1"/>
    <cellStyle name="Besuchter Hyperlink" xfId="1117" builtinId="9" hidden="1"/>
    <cellStyle name="Besuchter Hyperlink" xfId="1119" builtinId="9" hidden="1"/>
    <cellStyle name="Besuchter Hyperlink" xfId="1121" builtinId="9" hidden="1"/>
    <cellStyle name="Besuchter Hyperlink" xfId="1123" builtinId="9" hidden="1"/>
    <cellStyle name="Besuchter Hyperlink" xfId="1125" builtinId="9" hidden="1"/>
    <cellStyle name="Besuchter Hyperlink" xfId="1127" builtinId="9" hidden="1"/>
    <cellStyle name="Besuchter Hyperlink" xfId="1129" builtinId="9" hidden="1"/>
    <cellStyle name="Besuchter Hyperlink" xfId="1131" builtinId="9" hidden="1"/>
    <cellStyle name="Besuchter Hyperlink" xfId="1133" builtinId="9" hidden="1"/>
    <cellStyle name="Besuchter Hyperlink" xfId="1135" builtinId="9" hidden="1"/>
    <cellStyle name="Besuchter Hyperlink" xfId="1137" builtinId="9" hidden="1"/>
    <cellStyle name="Besuchter Hyperlink" xfId="1139" builtinId="9" hidden="1"/>
    <cellStyle name="Besuchter Hyperlink" xfId="1141" builtinId="9" hidden="1"/>
    <cellStyle name="Besuchter Hyperlink" xfId="1143" builtinId="9" hidden="1"/>
    <cellStyle name="Besuchter Hyperlink" xfId="1145" builtinId="9" hidden="1"/>
    <cellStyle name="Besuchter Hyperlink" xfId="1147" builtinId="9" hidden="1"/>
    <cellStyle name="Besuchter Hyperlink" xfId="1149" builtinId="9" hidden="1"/>
    <cellStyle name="Besuchter Hyperlink" xfId="1151" builtinId="9" hidden="1"/>
    <cellStyle name="Besuchter Hyperlink" xfId="1153" builtinId="9" hidden="1"/>
    <cellStyle name="Besuchter Hyperlink" xfId="1155" builtinId="9" hidden="1"/>
    <cellStyle name="Besuchter Hyperlink" xfId="1157" builtinId="9" hidden="1"/>
    <cellStyle name="Besuchter Hyperlink" xfId="1159" builtinId="9" hidden="1"/>
    <cellStyle name="Besuchter Hyperlink" xfId="1161" builtinId="9" hidden="1"/>
    <cellStyle name="Besuchter Hyperlink" xfId="1163" builtinId="9" hidden="1"/>
    <cellStyle name="Besuchter Hyperlink" xfId="1165" builtinId="9" hidden="1"/>
    <cellStyle name="Besuchter Hyperlink" xfId="1167" builtinId="9" hidden="1"/>
    <cellStyle name="Besuchter Hyperlink" xfId="1169" builtinId="9" hidden="1"/>
    <cellStyle name="Besuchter Hyperlink" xfId="1171" builtinId="9" hidden="1"/>
    <cellStyle name="Besuchter Hyperlink" xfId="1173" builtinId="9" hidden="1"/>
    <cellStyle name="Besuchter Hyperlink" xfId="1175" builtinId="9" hidden="1"/>
    <cellStyle name="Besuchter Hyperlink" xfId="1177" builtinId="9" hidden="1"/>
    <cellStyle name="Besuchter Hyperlink" xfId="1179" builtinId="9" hidden="1"/>
    <cellStyle name="Besuchter Hyperlink" xfId="1181" builtinId="9" hidden="1"/>
    <cellStyle name="Besuchter Hyperlink" xfId="1183" builtinId="9" hidden="1"/>
    <cellStyle name="Besuchter Hyperlink" xfId="1185" builtinId="9" hidden="1"/>
    <cellStyle name="Besuchter Hyperlink" xfId="1187" builtinId="9" hidden="1"/>
    <cellStyle name="Besuchter Hyperlink" xfId="1189" builtinId="9" hidden="1"/>
    <cellStyle name="Besuchter Hyperlink" xfId="1191" builtinId="9" hidden="1"/>
    <cellStyle name="Besuchter Hyperlink" xfId="1193" builtinId="9" hidden="1"/>
    <cellStyle name="Besuchter Hyperlink" xfId="1195" builtinId="9" hidden="1"/>
    <cellStyle name="Besuchter Hyperlink" xfId="1197" builtinId="9" hidden="1"/>
    <cellStyle name="Besuchter Hyperlink" xfId="1199" builtinId="9" hidden="1"/>
    <cellStyle name="Besuchter Hyperlink" xfId="1201" builtinId="9" hidden="1"/>
    <cellStyle name="Besuchter Hyperlink" xfId="1203" builtinId="9" hidden="1"/>
    <cellStyle name="Besuchter Hyperlink" xfId="1205" builtinId="9" hidden="1"/>
    <cellStyle name="Besuchter Hyperlink" xfId="1207" builtinId="9" hidden="1"/>
    <cellStyle name="Besuchter Hyperlink" xfId="1209" builtinId="9" hidden="1"/>
    <cellStyle name="Besuchter Hyperlink" xfId="1211" builtinId="9" hidden="1"/>
    <cellStyle name="Besuchter Hyperlink" xfId="1213" builtinId="9" hidden="1"/>
    <cellStyle name="Besuchter Hyperlink" xfId="1215" builtinId="9" hidden="1"/>
    <cellStyle name="Besuchter Hyperlink" xfId="1217" builtinId="9" hidden="1"/>
    <cellStyle name="Besuchter Hyperlink" xfId="1219" builtinId="9" hidden="1"/>
    <cellStyle name="Besuchter Hyperlink" xfId="1221" builtinId="9" hidden="1"/>
    <cellStyle name="Besuchter Hyperlink" xfId="1223" builtinId="9" hidden="1"/>
    <cellStyle name="Besuchter Hyperlink" xfId="1225" builtinId="9" hidden="1"/>
    <cellStyle name="Besuchter Hyperlink" xfId="1227" builtinId="9" hidden="1"/>
    <cellStyle name="Besuchter Hyperlink" xfId="1229" builtinId="9" hidden="1"/>
    <cellStyle name="Besuchter Hyperlink" xfId="1231" builtinId="9" hidden="1"/>
    <cellStyle name="Besuchter Hyperlink" xfId="1233" builtinId="9" hidden="1"/>
    <cellStyle name="Besuchter Hyperlink" xfId="1235" builtinId="9" hidden="1"/>
    <cellStyle name="Besuchter Hyperlink" xfId="1237" builtinId="9" hidden="1"/>
    <cellStyle name="Besuchter Hyperlink" xfId="1239" builtinId="9" hidden="1"/>
    <cellStyle name="Besuchter Hyperlink" xfId="1241" builtinId="9" hidden="1"/>
    <cellStyle name="Besuchter Hyperlink" xfId="1243" builtinId="9" hidden="1"/>
    <cellStyle name="Besuchter Hyperlink" xfId="1245" builtinId="9" hidden="1"/>
    <cellStyle name="Besuchter Hyperlink" xfId="1247" builtinId="9" hidden="1"/>
    <cellStyle name="Besuchter Hyperlink" xfId="1249" builtinId="9" hidden="1"/>
    <cellStyle name="Besuchter Hyperlink" xfId="1251" builtinId="9" hidden="1"/>
    <cellStyle name="Besuchter Hyperlink" xfId="1253" builtinId="9" hidden="1"/>
    <cellStyle name="Besuchter Hyperlink" xfId="1255" builtinId="9" hidden="1"/>
    <cellStyle name="Besuchter Hyperlink" xfId="1257" builtinId="9" hidden="1"/>
    <cellStyle name="Besuchter Hyperlink" xfId="1259" builtinId="9" hidden="1"/>
    <cellStyle name="Besuchter Hyperlink" xfId="1261" builtinId="9" hidden="1"/>
    <cellStyle name="Besuchter Hyperlink" xfId="1263" builtinId="9" hidden="1"/>
    <cellStyle name="Besuchter Hyperlink" xfId="1265" builtinId="9" hidden="1"/>
    <cellStyle name="Besuchter Hyperlink" xfId="1267" builtinId="9" hidden="1"/>
    <cellStyle name="Besuchter Hyperlink" xfId="1269" builtinId="9" hidden="1"/>
    <cellStyle name="Besuchter Hyperlink" xfId="1271" builtinId="9" hidden="1"/>
    <cellStyle name="Besuchter Hyperlink" xfId="1273" builtinId="9" hidden="1"/>
    <cellStyle name="Besuchter Hyperlink" xfId="1275" builtinId="9" hidden="1"/>
    <cellStyle name="Besuchter Hyperlink" xfId="1277" builtinId="9" hidden="1"/>
    <cellStyle name="Besuchter Hyperlink" xfId="1279" builtinId="9" hidden="1"/>
    <cellStyle name="Besuchter Hyperlink" xfId="1281" builtinId="9" hidden="1"/>
    <cellStyle name="Besuchter Hyperlink" xfId="1283" builtinId="9" hidden="1"/>
    <cellStyle name="Besuchter Hyperlink" xfId="1285" builtinId="9" hidden="1"/>
    <cellStyle name="Besuchter Hyperlink" xfId="1287" builtinId="9" hidden="1"/>
    <cellStyle name="Besuchter Hyperlink" xfId="1289" builtinId="9" hidden="1"/>
    <cellStyle name="Besuchter Hyperlink" xfId="1291" builtinId="9" hidden="1"/>
    <cellStyle name="Besuchter Hyperlink" xfId="1293" builtinId="9" hidden="1"/>
    <cellStyle name="Besuchter Hyperlink" xfId="1295" builtinId="9" hidden="1"/>
    <cellStyle name="Besuchter Hyperlink" xfId="1297" builtinId="9" hidden="1"/>
    <cellStyle name="Besuchter Hyperlink" xfId="1299" builtinId="9" hidden="1"/>
    <cellStyle name="Besuchter Hyperlink" xfId="1301" builtinId="9" hidden="1"/>
    <cellStyle name="Besuchter Hyperlink" xfId="1303" builtinId="9" hidden="1"/>
    <cellStyle name="Besuchter Hyperlink" xfId="1305" builtinId="9" hidden="1"/>
    <cellStyle name="Besuchter Hyperlink" xfId="1307" builtinId="9" hidden="1"/>
    <cellStyle name="Besuchter Hyperlink" xfId="1309" builtinId="9" hidden="1"/>
    <cellStyle name="Besuchter Hyperlink" xfId="1311" builtinId="9" hidden="1"/>
    <cellStyle name="Besuchter Hyperlink" xfId="1313" builtinId="9" hidden="1"/>
    <cellStyle name="Besuchter Hyperlink" xfId="1315" builtinId="9" hidden="1"/>
    <cellStyle name="Besuchter Hyperlink" xfId="1317" builtinId="9" hidden="1"/>
    <cellStyle name="Besuchter Hyperlink" xfId="1319" builtinId="9" hidden="1"/>
    <cellStyle name="Besuchter Hyperlink" xfId="1321" builtinId="9" hidden="1"/>
    <cellStyle name="Besuchter Hyperlink" xfId="1323" builtinId="9" hidden="1"/>
    <cellStyle name="Besuchter Hyperlink" xfId="1325" builtinId="9" hidden="1"/>
    <cellStyle name="Besuchter Hyperlink" xfId="1327" builtinId="9" hidden="1"/>
    <cellStyle name="Besuchter Hyperlink" xfId="1329" builtinId="9" hidden="1"/>
    <cellStyle name="Besuchter Hyperlink" xfId="1331" builtinId="9" hidden="1"/>
    <cellStyle name="Besuchter Hyperlink" xfId="1333" builtinId="9" hidden="1"/>
    <cellStyle name="Besuchter Hyperlink" xfId="1335" builtinId="9" hidden="1"/>
    <cellStyle name="Besuchter Hyperlink" xfId="1337" builtinId="9" hidden="1"/>
    <cellStyle name="Besuchter Hyperlink" xfId="1339" builtinId="9" hidden="1"/>
    <cellStyle name="Besuchter Hyperlink" xfId="1341" builtinId="9" hidden="1"/>
    <cellStyle name="Besuchter Hyperlink" xfId="1343" builtinId="9" hidden="1"/>
    <cellStyle name="Besuchter Hyperlink" xfId="1345" builtinId="9" hidden="1"/>
    <cellStyle name="Besuchter Hyperlink" xfId="1347" builtinId="9" hidden="1"/>
    <cellStyle name="Besuchter Hyperlink" xfId="1349" builtinId="9" hidden="1"/>
    <cellStyle name="Besuchter Hyperlink" xfId="1351" builtinId="9" hidden="1"/>
    <cellStyle name="Besuchter Hyperlink" xfId="1353" builtinId="9" hidden="1"/>
    <cellStyle name="Besuchter Hyperlink" xfId="1355" builtinId="9" hidden="1"/>
    <cellStyle name="Besuchter Hyperlink" xfId="1357" builtinId="9" hidden="1"/>
    <cellStyle name="Besuchter Hyperlink" xfId="1359" builtinId="9" hidden="1"/>
    <cellStyle name="Besuchter Hyperlink" xfId="1361" builtinId="9" hidden="1"/>
    <cellStyle name="Besuchter Hyperlink" xfId="1363" builtinId="9" hidden="1"/>
    <cellStyle name="Besuchter Hyperlink" xfId="1365" builtinId="9" hidden="1"/>
    <cellStyle name="Besuchter Hyperlink" xfId="1367" builtinId="9" hidden="1"/>
    <cellStyle name="Besuchter Hyperlink" xfId="1369" builtinId="9" hidden="1"/>
    <cellStyle name="Besuchter Hyperlink" xfId="1371" builtinId="9" hidden="1"/>
    <cellStyle name="Besuchter Hyperlink" xfId="1373" builtinId="9" hidden="1"/>
    <cellStyle name="Besuchter Hyperlink" xfId="1375" builtinId="9" hidden="1"/>
    <cellStyle name="Besuchter Hyperlink" xfId="1377" builtinId="9" hidden="1"/>
    <cellStyle name="Besuchter Hyperlink" xfId="1379" builtinId="9" hidden="1"/>
    <cellStyle name="Besuchter Hyperlink" xfId="1381" builtinId="9" hidden="1"/>
    <cellStyle name="Besuchter Hyperlink" xfId="1383" builtinId="9" hidden="1"/>
    <cellStyle name="Besuchter Hyperlink" xfId="1385" builtinId="9" hidden="1"/>
    <cellStyle name="Besuchter Hyperlink" xfId="1387" builtinId="9" hidden="1"/>
    <cellStyle name="Besuchter Hyperlink" xfId="1389" builtinId="9" hidden="1"/>
    <cellStyle name="Besuchter Hyperlink" xfId="1391" builtinId="9" hidden="1"/>
    <cellStyle name="Besuchter Hyperlink" xfId="1393" builtinId="9" hidden="1"/>
    <cellStyle name="Besuchter Hyperlink" xfId="1395" builtinId="9" hidden="1"/>
    <cellStyle name="Besuchter Hyperlink" xfId="1397" builtinId="9" hidden="1"/>
    <cellStyle name="Besuchter Hyperlink" xfId="1399" builtinId="9" hidden="1"/>
    <cellStyle name="Besuchter Hyperlink" xfId="1401" builtinId="9" hidden="1"/>
    <cellStyle name="Besuchter Hyperlink" xfId="1403" builtinId="9" hidden="1"/>
    <cellStyle name="Besuchter Hyperlink" xfId="1405" builtinId="9" hidden="1"/>
    <cellStyle name="Besuchter Hyperlink" xfId="1407" builtinId="9" hidden="1"/>
    <cellStyle name="Besuchter Hyperlink" xfId="1409" builtinId="9" hidden="1"/>
    <cellStyle name="Besuchter Hyperlink" xfId="1411" builtinId="9" hidden="1"/>
    <cellStyle name="Besuchter Hyperlink" xfId="1413" builtinId="9" hidden="1"/>
    <cellStyle name="Besuchter Hyperlink" xfId="1415" builtinId="9" hidden="1"/>
    <cellStyle name="Besuchter Hyperlink" xfId="1417" builtinId="9" hidden="1"/>
    <cellStyle name="Besuchter Hyperlink" xfId="1419" builtinId="9" hidden="1"/>
    <cellStyle name="Besuchter Hyperlink" xfId="1421" builtinId="9" hidden="1"/>
    <cellStyle name="Besuchter Hyperlink" xfId="1423" builtinId="9" hidden="1"/>
    <cellStyle name="Besuchter Hyperlink" xfId="1425" builtinId="9" hidden="1"/>
    <cellStyle name="Besuchter Hyperlink" xfId="1427" builtinId="9" hidden="1"/>
    <cellStyle name="Besuchter Hyperlink" xfId="1429" builtinId="9" hidden="1"/>
    <cellStyle name="Besuchter Hyperlink" xfId="1431" builtinId="9" hidden="1"/>
    <cellStyle name="Besuchter Hyperlink" xfId="1433" builtinId="9" hidden="1"/>
    <cellStyle name="Besuchter Hyperlink" xfId="1435" builtinId="9" hidden="1"/>
    <cellStyle name="Besuchter Hyperlink" xfId="1437" builtinId="9" hidden="1"/>
    <cellStyle name="Besuchter Hyperlink" xfId="1439" builtinId="9" hidden="1"/>
    <cellStyle name="Besuchter Hyperlink" xfId="1441" builtinId="9" hidden="1"/>
    <cellStyle name="Besuchter Hyperlink" xfId="1443" builtinId="9" hidden="1"/>
    <cellStyle name="Besuchter Hyperlink" xfId="1445" builtinId="9" hidden="1"/>
    <cellStyle name="Besuchter Hyperlink" xfId="1447" builtinId="9" hidden="1"/>
    <cellStyle name="Besuchter Hyperlink" xfId="1449" builtinId="9" hidden="1"/>
    <cellStyle name="Besuchter Hyperlink" xfId="1451" builtinId="9" hidden="1"/>
    <cellStyle name="Besuchter Hyperlink" xfId="1453" builtinId="9" hidden="1"/>
    <cellStyle name="Besuchter Hyperlink" xfId="1455" builtinId="9" hidden="1"/>
    <cellStyle name="Besuchter Hyperlink" xfId="1457" builtinId="9" hidden="1"/>
    <cellStyle name="Besuchter Hyperlink" xfId="1459" builtinId="9" hidden="1"/>
    <cellStyle name="Besuchter Hyperlink" xfId="1461" builtinId="9" hidden="1"/>
    <cellStyle name="Besuchter Hyperlink" xfId="1463" builtinId="9" hidden="1"/>
    <cellStyle name="Besuchter Hyperlink" xfId="1465" builtinId="9" hidden="1"/>
    <cellStyle name="Besuchter Hyperlink" xfId="1467" builtinId="9" hidden="1"/>
    <cellStyle name="Besuchter Hyperlink" xfId="1469" builtinId="9" hidden="1"/>
    <cellStyle name="Besuchter Hyperlink" xfId="1471" builtinId="9" hidden="1"/>
    <cellStyle name="Besuchter Hyperlink" xfId="1473" builtinId="9" hidden="1"/>
    <cellStyle name="Besuchter Hyperlink" xfId="1475" builtinId="9" hidden="1"/>
    <cellStyle name="Besuchter Hyperlink" xfId="1477" builtinId="9" hidden="1"/>
    <cellStyle name="Besuchter Hyperlink" xfId="1479" builtinId="9" hidden="1"/>
    <cellStyle name="Besuchter Hyperlink" xfId="1481" builtinId="9" hidden="1"/>
    <cellStyle name="Besuchter Hyperlink" xfId="1483" builtinId="9" hidden="1"/>
    <cellStyle name="Besuchter Hyperlink" xfId="1485" builtinId="9" hidden="1"/>
    <cellStyle name="Besuchter Hyperlink" xfId="1487" builtinId="9" hidden="1"/>
    <cellStyle name="Besuchter Hyperlink" xfId="1489" builtinId="9" hidden="1"/>
    <cellStyle name="Besuchter Hyperlink" xfId="1491" builtinId="9" hidden="1"/>
    <cellStyle name="Besuchter Hyperlink" xfId="1493" builtinId="9" hidden="1"/>
    <cellStyle name="Besuchter Hyperlink" xfId="1495" builtinId="9" hidden="1"/>
    <cellStyle name="Besuchter Hyperlink" xfId="1497" builtinId="9" hidden="1"/>
    <cellStyle name="Besuchter Hyperlink" xfId="1499" builtinId="9" hidden="1"/>
    <cellStyle name="Besuchter Hyperlink" xfId="1501" builtinId="9" hidden="1"/>
    <cellStyle name="Besuchter Hyperlink" xfId="1503" builtinId="9" hidden="1"/>
    <cellStyle name="Besuchter Hyperlink" xfId="1505" builtinId="9" hidden="1"/>
    <cellStyle name="Besuchter Hyperlink" xfId="1507" builtinId="9" hidden="1"/>
    <cellStyle name="Besuchter Hyperlink" xfId="1509" builtinId="9" hidden="1"/>
    <cellStyle name="Besuchter Hyperlink" xfId="1511" builtinId="9" hidden="1"/>
    <cellStyle name="Besuchter Hyperlink" xfId="1513" builtinId="9" hidden="1"/>
    <cellStyle name="Besuchter Hyperlink" xfId="1515" builtinId="9" hidden="1"/>
    <cellStyle name="Besuchter Hyperlink" xfId="1517" builtinId="9" hidden="1"/>
    <cellStyle name="Besuchter Hyperlink" xfId="1519" builtinId="9" hidden="1"/>
    <cellStyle name="Besuchter Hyperlink" xfId="1521" builtinId="9" hidden="1"/>
    <cellStyle name="Besuchter Hyperlink" xfId="1523" builtinId="9" hidden="1"/>
    <cellStyle name="Besuchter Hyperlink" xfId="1525" builtinId="9" hidden="1"/>
    <cellStyle name="Besuchter Hyperlink" xfId="1527" builtinId="9" hidden="1"/>
    <cellStyle name="Besuchter Hyperlink" xfId="1529" builtinId="9" hidden="1"/>
    <cellStyle name="Besuchter Hyperlink" xfId="1531" builtinId="9" hidden="1"/>
    <cellStyle name="Besuchter Hyperlink" xfId="1533" builtinId="9" hidden="1"/>
    <cellStyle name="Besuchter Hyperlink" xfId="1535" builtinId="9" hidden="1"/>
    <cellStyle name="Besuchter Hyperlink" xfId="1537" builtinId="9" hidden="1"/>
    <cellStyle name="Besuchter Hyperlink" xfId="1539" builtinId="9" hidden="1"/>
    <cellStyle name="Besuchter Hyperlink" xfId="1541" builtinId="9" hidden="1"/>
    <cellStyle name="Besuchter Hyperlink" xfId="1543" builtinId="9" hidden="1"/>
    <cellStyle name="Besuchter Hyperlink" xfId="1545" builtinId="9" hidden="1"/>
    <cellStyle name="Besuchter Hyperlink" xfId="1547" builtinId="9" hidden="1"/>
    <cellStyle name="Besuchter Hyperlink" xfId="1549" builtinId="9" hidden="1"/>
    <cellStyle name="Besuchter Hyperlink" xfId="1551" builtinId="9" hidden="1"/>
    <cellStyle name="Besuchter Hyperlink" xfId="1553" builtinId="9" hidden="1"/>
    <cellStyle name="Besuchter Hyperlink" xfId="1555" builtinId="9" hidden="1"/>
    <cellStyle name="Besuchter Hyperlink" xfId="1557" builtinId="9" hidden="1"/>
    <cellStyle name="Besuchter Hyperlink" xfId="1559" builtinId="9" hidden="1"/>
    <cellStyle name="Besuchter Hyperlink" xfId="1561" builtinId="9" hidden="1"/>
    <cellStyle name="Besuchter Hyperlink" xfId="1563" builtinId="9" hidden="1"/>
    <cellStyle name="Besuchter Hyperlink" xfId="1565" builtinId="9" hidden="1"/>
    <cellStyle name="Besuchter Hyperlink" xfId="1567" builtinId="9" hidden="1"/>
    <cellStyle name="Besuchter Hyperlink" xfId="1569" builtinId="9" hidden="1"/>
    <cellStyle name="Besuchter Hyperlink" xfId="1571" builtinId="9" hidden="1"/>
    <cellStyle name="Besuchter Hyperlink" xfId="1573" builtinId="9" hidden="1"/>
    <cellStyle name="Besuchter Hyperlink" xfId="1575" builtinId="9" hidden="1"/>
    <cellStyle name="Besuchter Hyperlink" xfId="1577" builtinId="9" hidden="1"/>
    <cellStyle name="Besuchter Hyperlink" xfId="1579" builtinId="9" hidden="1"/>
    <cellStyle name="Besuchter Hyperlink" xfId="1581" builtinId="9" hidden="1"/>
    <cellStyle name="Besuchter Hyperlink" xfId="1583" builtinId="9" hidden="1"/>
    <cellStyle name="Besuchter Hyperlink" xfId="1585" builtinId="9" hidden="1"/>
    <cellStyle name="Besuchter Hyperlink" xfId="1587" builtinId="9" hidden="1"/>
    <cellStyle name="Besuchter Hyperlink" xfId="1589" builtinId="9" hidden="1"/>
    <cellStyle name="Besuchter Hyperlink" xfId="1591" builtinId="9" hidden="1"/>
    <cellStyle name="Besuchter Hyperlink" xfId="1593" builtinId="9" hidden="1"/>
    <cellStyle name="Besuchter Hyperlink" xfId="1595" builtinId="9" hidden="1"/>
    <cellStyle name="Besuchter Hyperlink" xfId="1597" builtinId="9" hidden="1"/>
    <cellStyle name="Besuchter Hyperlink" xfId="1599" builtinId="9" hidden="1"/>
    <cellStyle name="Besuchter Hyperlink" xfId="1601" builtinId="9" hidden="1"/>
    <cellStyle name="Besuchter Hyperlink" xfId="1603" builtinId="9" hidden="1"/>
    <cellStyle name="Besuchter Hyperlink" xfId="1605" builtinId="9" hidden="1"/>
    <cellStyle name="Besuchter Hyperlink" xfId="1607" builtinId="9" hidden="1"/>
    <cellStyle name="Besuchter Hyperlink" xfId="1609" builtinId="9" hidden="1"/>
    <cellStyle name="Besuchter Hyperlink" xfId="1611" builtinId="9" hidden="1"/>
    <cellStyle name="Besuchter Hyperlink" xfId="1613" builtinId="9" hidden="1"/>
    <cellStyle name="Besuchter Hyperlink" xfId="1615" builtinId="9" hidden="1"/>
    <cellStyle name="Besuchter Hyperlink" xfId="1617" builtinId="9" hidden="1"/>
    <cellStyle name="Besuchter Hyperlink" xfId="1619" builtinId="9" hidden="1"/>
    <cellStyle name="Besuchter Hyperlink" xfId="1621" builtinId="9" hidden="1"/>
    <cellStyle name="Besuchter Hyperlink" xfId="1623" builtinId="9" hidden="1"/>
    <cellStyle name="Besuchter Hyperlink" xfId="1625" builtinId="9" hidden="1"/>
    <cellStyle name="Besuchter Hyperlink" xfId="1627" builtinId="9" hidden="1"/>
    <cellStyle name="Besuchter Hyperlink" xfId="1629" builtinId="9" hidden="1"/>
    <cellStyle name="Besuchter Hyperlink" xfId="1631" builtinId="9" hidden="1"/>
    <cellStyle name="Besuchter Hyperlink" xfId="1633" builtinId="9" hidden="1"/>
    <cellStyle name="Besuchter Hyperlink" xfId="1635" builtinId="9" hidden="1"/>
    <cellStyle name="Besuchter Hyperlink" xfId="1637" builtinId="9" hidden="1"/>
    <cellStyle name="Besuchter Hyperlink" xfId="1639" builtinId="9" hidden="1"/>
    <cellStyle name="Besuchter Hyperlink" xfId="1641" builtinId="9" hidden="1"/>
    <cellStyle name="Besuchter Hyperlink" xfId="1643" builtinId="9" hidden="1"/>
    <cellStyle name="Besuchter Hyperlink" xfId="1645" builtinId="9" hidden="1"/>
    <cellStyle name="Besuchter Hyperlink" xfId="1647" builtinId="9" hidden="1"/>
    <cellStyle name="Besuchter Hyperlink" xfId="1649" builtinId="9" hidden="1"/>
    <cellStyle name="Besuchter Hyperlink" xfId="1651" builtinId="9" hidden="1"/>
    <cellStyle name="Besuchter Hyperlink" xfId="1653" builtinId="9" hidden="1"/>
    <cellStyle name="Besuchter Hyperlink" xfId="1655" builtinId="9" hidden="1"/>
    <cellStyle name="Besuchter Hyperlink" xfId="1657" builtinId="9" hidden="1"/>
    <cellStyle name="Besuchter Hyperlink" xfId="1659" builtinId="9" hidden="1"/>
    <cellStyle name="Besuchter Hyperlink" xfId="1661" builtinId="9" hidden="1"/>
    <cellStyle name="Besuchter Hyperlink" xfId="1663" builtinId="9" hidden="1"/>
    <cellStyle name="Besuchter Hyperlink" xfId="1665" builtinId="9" hidden="1"/>
    <cellStyle name="Besuchter Hyperlink" xfId="1667" builtinId="9" hidden="1"/>
    <cellStyle name="Besuchter Hyperlink" xfId="1669" builtinId="9" hidden="1"/>
    <cellStyle name="Besuchter Hyperlink" xfId="1671" builtinId="9" hidden="1"/>
    <cellStyle name="Besuchter Hyperlink" xfId="1673" builtinId="9" hidden="1"/>
    <cellStyle name="Besuchter Hyperlink" xfId="1675" builtinId="9" hidden="1"/>
    <cellStyle name="Besuchter Hyperlink" xfId="1677" builtinId="9" hidden="1"/>
    <cellStyle name="Besuchter Hyperlink" xfId="1679" builtinId="9" hidden="1"/>
    <cellStyle name="Besuchter Hyperlink" xfId="1681" builtinId="9" hidden="1"/>
    <cellStyle name="Besuchter Hyperlink" xfId="1683" builtinId="9" hidden="1"/>
    <cellStyle name="Besuchter Hyperlink" xfId="1685" builtinId="9" hidden="1"/>
    <cellStyle name="Besuchter Hyperlink" xfId="1687" builtinId="9" hidden="1"/>
    <cellStyle name="Besuchter Hyperlink" xfId="1689" builtinId="9" hidden="1"/>
    <cellStyle name="Besuchter Hyperlink" xfId="1691" builtinId="9" hidden="1"/>
    <cellStyle name="Besuchter Hyperlink" xfId="1693" builtinId="9" hidden="1"/>
    <cellStyle name="Besuchter Hyperlink" xfId="1695" builtinId="9" hidden="1"/>
    <cellStyle name="Besuchter Hyperlink" xfId="1697" builtinId="9" hidden="1"/>
    <cellStyle name="Besuchter Hyperlink" xfId="1699" builtinId="9" hidden="1"/>
    <cellStyle name="Besuchter Hyperlink" xfId="1701" builtinId="9" hidden="1"/>
    <cellStyle name="Besuchter Hyperlink" xfId="1703" builtinId="9" hidden="1"/>
    <cellStyle name="Besuchter Hyperlink" xfId="1705" builtinId="9" hidden="1"/>
    <cellStyle name="Besuchter Hyperlink" xfId="1707" builtinId="9" hidden="1"/>
    <cellStyle name="Besuchter Hyperlink" xfId="1709" builtinId="9" hidden="1"/>
    <cellStyle name="Besuchter Hyperlink" xfId="1711" builtinId="9" hidden="1"/>
    <cellStyle name="Besuchter Hyperlink" xfId="1713" builtinId="9" hidden="1"/>
    <cellStyle name="Besuchter Hyperlink" xfId="1715" builtinId="9" hidden="1"/>
    <cellStyle name="Besuchter Hyperlink" xfId="1717" builtinId="9" hidden="1"/>
    <cellStyle name="Besuchter Hyperlink" xfId="1719" builtinId="9" hidden="1"/>
    <cellStyle name="Besuchter Hyperlink" xfId="1721" builtinId="9" hidden="1"/>
    <cellStyle name="Besuchter Hyperlink" xfId="1723" builtinId="9" hidden="1"/>
    <cellStyle name="Besuchter Hyperlink" xfId="1725" builtinId="9" hidden="1"/>
    <cellStyle name="Besuchter Hyperlink" xfId="1727" builtinId="9" hidden="1"/>
    <cellStyle name="Besuchter Hyperlink" xfId="1729" builtinId="9" hidden="1"/>
    <cellStyle name="Besuchter Hyperlink" xfId="1731" builtinId="9" hidden="1"/>
    <cellStyle name="Besuchter Hyperlink" xfId="1733" builtinId="9" hidden="1"/>
    <cellStyle name="Besuchter Hyperlink" xfId="1735" builtinId="9" hidden="1"/>
    <cellStyle name="Besuchter Hyperlink" xfId="1737" builtinId="9" hidden="1"/>
    <cellStyle name="Besuchter Hyperlink" xfId="1739" builtinId="9" hidden="1"/>
    <cellStyle name="Besuchter Hyperlink" xfId="1741" builtinId="9" hidden="1"/>
    <cellStyle name="Besuchter Hyperlink" xfId="1743" builtinId="9" hidden="1"/>
    <cellStyle name="Besuchter Hyperlink" xfId="1745" builtinId="9" hidden="1"/>
    <cellStyle name="Besuchter Hyperlink" xfId="1747" builtinId="9" hidden="1"/>
    <cellStyle name="Besuchter Hyperlink" xfId="1749" builtinId="9" hidden="1"/>
    <cellStyle name="Besuchter Hyperlink" xfId="1751" builtinId="9" hidden="1"/>
    <cellStyle name="Besuchter Hyperlink" xfId="1753" builtinId="9" hidden="1"/>
    <cellStyle name="Besuchter Hyperlink" xfId="1755" builtinId="9" hidden="1"/>
    <cellStyle name="Besuchter Hyperlink" xfId="1757" builtinId="9" hidden="1"/>
    <cellStyle name="Besuchter Hyperlink" xfId="1759" builtinId="9" hidden="1"/>
    <cellStyle name="Besuchter Hyperlink" xfId="1761" builtinId="9" hidden="1"/>
    <cellStyle name="Besuchter Hyperlink" xfId="1763" builtinId="9" hidden="1"/>
    <cellStyle name="Besuchter Hyperlink" xfId="1765" builtinId="9" hidden="1"/>
    <cellStyle name="Besuchter Hyperlink" xfId="1767" builtinId="9" hidden="1"/>
    <cellStyle name="Besuchter Hyperlink" xfId="1769" builtinId="9" hidden="1"/>
    <cellStyle name="Besuchter Hyperlink" xfId="1771" builtinId="9" hidden="1"/>
    <cellStyle name="Besuchter Hyperlink" xfId="1773" builtinId="9" hidden="1"/>
    <cellStyle name="Besuchter Hyperlink" xfId="1775" builtinId="9" hidden="1"/>
    <cellStyle name="Besuchter Hyperlink" xfId="1777" builtinId="9" hidden="1"/>
    <cellStyle name="Besuchter Hyperlink" xfId="1779" builtinId="9" hidden="1"/>
    <cellStyle name="Besuchter Hyperlink" xfId="1781" builtinId="9" hidden="1"/>
    <cellStyle name="Besuchter Hyperlink" xfId="1783" builtinId="9" hidden="1"/>
    <cellStyle name="Besuchter Hyperlink" xfId="1785" builtinId="9" hidden="1"/>
    <cellStyle name="Besuchter Hyperlink" xfId="1787" builtinId="9" hidden="1"/>
    <cellStyle name="Besuchter Hyperlink" xfId="1789" builtinId="9" hidden="1"/>
    <cellStyle name="Besuchter Hyperlink" xfId="1791" builtinId="9" hidden="1"/>
    <cellStyle name="Besuchter Hyperlink" xfId="1793" builtinId="9" hidden="1"/>
    <cellStyle name="Besuchter Hyperlink" xfId="1795" builtinId="9" hidden="1"/>
    <cellStyle name="Besuchter Hyperlink" xfId="1797" builtinId="9" hidden="1"/>
    <cellStyle name="Besuchter Hyperlink" xfId="1799" builtinId="9" hidden="1"/>
    <cellStyle name="Besuchter Hyperlink" xfId="1801" builtinId="9" hidden="1"/>
    <cellStyle name="Besuchter Hyperlink" xfId="1803" builtinId="9" hidden="1"/>
    <cellStyle name="Besuchter Hyperlink" xfId="1805" builtinId="9" hidden="1"/>
    <cellStyle name="Besuchter Hyperlink" xfId="1807" builtinId="9" hidden="1"/>
    <cellStyle name="Besuchter Hyperlink" xfId="1809" builtinId="9" hidden="1"/>
    <cellStyle name="Komma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Link" xfId="388" builtinId="8" hidden="1"/>
    <cellStyle name="Link" xfId="390" builtinId="8" hidden="1"/>
    <cellStyle name="Link" xfId="392" builtinId="8" hidden="1"/>
    <cellStyle name="Link" xfId="394" builtinId="8" hidden="1"/>
    <cellStyle name="Link" xfId="396" builtinId="8" hidden="1"/>
    <cellStyle name="Link" xfId="398" builtinId="8" hidden="1"/>
    <cellStyle name="Link" xfId="400" builtinId="8" hidden="1"/>
    <cellStyle name="Link" xfId="402" builtinId="8" hidden="1"/>
    <cellStyle name="Link" xfId="404" builtinId="8" hidden="1"/>
    <cellStyle name="Link" xfId="406" builtinId="8" hidden="1"/>
    <cellStyle name="Link" xfId="408" builtinId="8" hidden="1"/>
    <cellStyle name="Link" xfId="410" builtinId="8" hidden="1"/>
    <cellStyle name="Link" xfId="412" builtinId="8" hidden="1"/>
    <cellStyle name="Link" xfId="414" builtinId="8" hidden="1"/>
    <cellStyle name="Link" xfId="416" builtinId="8" hidden="1"/>
    <cellStyle name="Link" xfId="418" builtinId="8" hidden="1"/>
    <cellStyle name="Link" xfId="420" builtinId="8" hidden="1"/>
    <cellStyle name="Link" xfId="422" builtinId="8" hidden="1"/>
    <cellStyle name="Link" xfId="424" builtinId="8" hidden="1"/>
    <cellStyle name="Link" xfId="426" builtinId="8" hidden="1"/>
    <cellStyle name="Link" xfId="428" builtinId="8" hidden="1"/>
    <cellStyle name="Link" xfId="430" builtinId="8" hidden="1"/>
    <cellStyle name="Link" xfId="432" builtinId="8" hidden="1"/>
    <cellStyle name="Link" xfId="434" builtinId="8" hidden="1"/>
    <cellStyle name="Link" xfId="436" builtinId="8" hidden="1"/>
    <cellStyle name="Link" xfId="438" builtinId="8" hidden="1"/>
    <cellStyle name="Link" xfId="440" builtinId="8" hidden="1"/>
    <cellStyle name="Link" xfId="442" builtinId="8" hidden="1"/>
    <cellStyle name="Link" xfId="444" builtinId="8" hidden="1"/>
    <cellStyle name="Link" xfId="446" builtinId="8" hidden="1"/>
    <cellStyle name="Link" xfId="448" builtinId="8" hidden="1"/>
    <cellStyle name="Link" xfId="450" builtinId="8" hidden="1"/>
    <cellStyle name="Link" xfId="452" builtinId="8" hidden="1"/>
    <cellStyle name="Link" xfId="454" builtinId="8" hidden="1"/>
    <cellStyle name="Link" xfId="456" builtinId="8" hidden="1"/>
    <cellStyle name="Link" xfId="458" builtinId="8" hidden="1"/>
    <cellStyle name="Link" xfId="460" builtinId="8" hidden="1"/>
    <cellStyle name="Link" xfId="462" builtinId="8" hidden="1"/>
    <cellStyle name="Link" xfId="464" builtinId="8" hidden="1"/>
    <cellStyle name="Link" xfId="466" builtinId="8" hidden="1"/>
    <cellStyle name="Link" xfId="468" builtinId="8" hidden="1"/>
    <cellStyle name="Link" xfId="470" builtinId="8" hidden="1"/>
    <cellStyle name="Link" xfId="472" builtinId="8" hidden="1"/>
    <cellStyle name="Link" xfId="474" builtinId="8" hidden="1"/>
    <cellStyle name="Link" xfId="476" builtinId="8" hidden="1"/>
    <cellStyle name="Link" xfId="478" builtinId="8" hidden="1"/>
    <cellStyle name="Link" xfId="480" builtinId="8" hidden="1"/>
    <cellStyle name="Link" xfId="482" builtinId="8" hidden="1"/>
    <cellStyle name="Link" xfId="484" builtinId="8" hidden="1"/>
    <cellStyle name="Link" xfId="486" builtinId="8" hidden="1"/>
    <cellStyle name="Link" xfId="488" builtinId="8" hidden="1"/>
    <cellStyle name="Link" xfId="490" builtinId="8" hidden="1"/>
    <cellStyle name="Link" xfId="492" builtinId="8" hidden="1"/>
    <cellStyle name="Link" xfId="494" builtinId="8" hidden="1"/>
    <cellStyle name="Link" xfId="496" builtinId="8" hidden="1"/>
    <cellStyle name="Link" xfId="498" builtinId="8" hidden="1"/>
    <cellStyle name="Link" xfId="500" builtinId="8" hidden="1"/>
    <cellStyle name="Link" xfId="502" builtinId="8" hidden="1"/>
    <cellStyle name="Link" xfId="504" builtinId="8" hidden="1"/>
    <cellStyle name="Link" xfId="506" builtinId="8" hidden="1"/>
    <cellStyle name="Link" xfId="508" builtinId="8" hidden="1"/>
    <cellStyle name="Link" xfId="510" builtinId="8" hidden="1"/>
    <cellStyle name="Link" xfId="512" builtinId="8" hidden="1"/>
    <cellStyle name="Link" xfId="514" builtinId="8" hidden="1"/>
    <cellStyle name="Link" xfId="516" builtinId="8" hidden="1"/>
    <cellStyle name="Link" xfId="518" builtinId="8" hidden="1"/>
    <cellStyle name="Link" xfId="520" builtinId="8" hidden="1"/>
    <cellStyle name="Link" xfId="522" builtinId="8" hidden="1"/>
    <cellStyle name="Link" xfId="524" builtinId="8" hidden="1"/>
    <cellStyle name="Link" xfId="526" builtinId="8" hidden="1"/>
    <cellStyle name="Link" xfId="528" builtinId="8" hidden="1"/>
    <cellStyle name="Link" xfId="530" builtinId="8" hidden="1"/>
    <cellStyle name="Link" xfId="532" builtinId="8" hidden="1"/>
    <cellStyle name="Link" xfId="534" builtinId="8" hidden="1"/>
    <cellStyle name="Link" xfId="536" builtinId="8" hidden="1"/>
    <cellStyle name="Link" xfId="538" builtinId="8" hidden="1"/>
    <cellStyle name="Link" xfId="540" builtinId="8" hidden="1"/>
    <cellStyle name="Link" xfId="542" builtinId="8" hidden="1"/>
    <cellStyle name="Link" xfId="544" builtinId="8" hidden="1"/>
    <cellStyle name="Link" xfId="546" builtinId="8" hidden="1"/>
    <cellStyle name="Link" xfId="548" builtinId="8" hidden="1"/>
    <cellStyle name="Link" xfId="550" builtinId="8" hidden="1"/>
    <cellStyle name="Link" xfId="552" builtinId="8" hidden="1"/>
    <cellStyle name="Link" xfId="554" builtinId="8" hidden="1"/>
    <cellStyle name="Link" xfId="556" builtinId="8" hidden="1"/>
    <cellStyle name="Link" xfId="558" builtinId="8" hidden="1"/>
    <cellStyle name="Link" xfId="560" builtinId="8" hidden="1"/>
    <cellStyle name="Link" xfId="562" builtinId="8" hidden="1"/>
    <cellStyle name="Link" xfId="564" builtinId="8" hidden="1"/>
    <cellStyle name="Link" xfId="566" builtinId="8" hidden="1"/>
    <cellStyle name="Link" xfId="568" builtinId="8" hidden="1"/>
    <cellStyle name="Link" xfId="570" builtinId="8" hidden="1"/>
    <cellStyle name="Link" xfId="572" builtinId="8" hidden="1"/>
    <cellStyle name="Link" xfId="574" builtinId="8" hidden="1"/>
    <cellStyle name="Link" xfId="576" builtinId="8" hidden="1"/>
    <cellStyle name="Link" xfId="578" builtinId="8" hidden="1"/>
    <cellStyle name="Link" xfId="580" builtinId="8" hidden="1"/>
    <cellStyle name="Link" xfId="582" builtinId="8" hidden="1"/>
    <cellStyle name="Link" xfId="584" builtinId="8" hidden="1"/>
    <cellStyle name="Link" xfId="586" builtinId="8" hidden="1"/>
    <cellStyle name="Link" xfId="588" builtinId="8" hidden="1"/>
    <cellStyle name="Link" xfId="590" builtinId="8" hidden="1"/>
    <cellStyle name="Link" xfId="592" builtinId="8" hidden="1"/>
    <cellStyle name="Link" xfId="594" builtinId="8" hidden="1"/>
    <cellStyle name="Link" xfId="596" builtinId="8" hidden="1"/>
    <cellStyle name="Link" xfId="598" builtinId="8" hidden="1"/>
    <cellStyle name="Link" xfId="600" builtinId="8" hidden="1"/>
    <cellStyle name="Link" xfId="602" builtinId="8" hidden="1"/>
    <cellStyle name="Link" xfId="604" builtinId="8" hidden="1"/>
    <cellStyle name="Link" xfId="606" builtinId="8" hidden="1"/>
    <cellStyle name="Link" xfId="608" builtinId="8" hidden="1"/>
    <cellStyle name="Link" xfId="610" builtinId="8" hidden="1"/>
    <cellStyle name="Link" xfId="612" builtinId="8" hidden="1"/>
    <cellStyle name="Link" xfId="614" builtinId="8" hidden="1"/>
    <cellStyle name="Link" xfId="616" builtinId="8" hidden="1"/>
    <cellStyle name="Link" xfId="618" builtinId="8" hidden="1"/>
    <cellStyle name="Link" xfId="620" builtinId="8" hidden="1"/>
    <cellStyle name="Link" xfId="622" builtinId="8" hidden="1"/>
    <cellStyle name="Link" xfId="624" builtinId="8" hidden="1"/>
    <cellStyle name="Link" xfId="626" builtinId="8" hidden="1"/>
    <cellStyle name="Link" xfId="628" builtinId="8" hidden="1"/>
    <cellStyle name="Link" xfId="630" builtinId="8" hidden="1"/>
    <cellStyle name="Link" xfId="632" builtinId="8" hidden="1"/>
    <cellStyle name="Link" xfId="634" builtinId="8" hidden="1"/>
    <cellStyle name="Link" xfId="636" builtinId="8" hidden="1"/>
    <cellStyle name="Link" xfId="638" builtinId="8" hidden="1"/>
    <cellStyle name="Link" xfId="640" builtinId="8" hidden="1"/>
    <cellStyle name="Link" xfId="642" builtinId="8" hidden="1"/>
    <cellStyle name="Link" xfId="644" builtinId="8" hidden="1"/>
    <cellStyle name="Link" xfId="646" builtinId="8" hidden="1"/>
    <cellStyle name="Link" xfId="648" builtinId="8" hidden="1"/>
    <cellStyle name="Link" xfId="650" builtinId="8" hidden="1"/>
    <cellStyle name="Link" xfId="652" builtinId="8" hidden="1"/>
    <cellStyle name="Link" xfId="654" builtinId="8" hidden="1"/>
    <cellStyle name="Link" xfId="656" builtinId="8" hidden="1"/>
    <cellStyle name="Link" xfId="658" builtinId="8" hidden="1"/>
    <cellStyle name="Link" xfId="660" builtinId="8" hidden="1"/>
    <cellStyle name="Link" xfId="662" builtinId="8" hidden="1"/>
    <cellStyle name="Link" xfId="664" builtinId="8" hidden="1"/>
    <cellStyle name="Link" xfId="666" builtinId="8" hidden="1"/>
    <cellStyle name="Link" xfId="668" builtinId="8" hidden="1"/>
    <cellStyle name="Link" xfId="670" builtinId="8" hidden="1"/>
    <cellStyle name="Link" xfId="672" builtinId="8" hidden="1"/>
    <cellStyle name="Link" xfId="674" builtinId="8" hidden="1"/>
    <cellStyle name="Link" xfId="676" builtinId="8" hidden="1"/>
    <cellStyle name="Link" xfId="678" builtinId="8" hidden="1"/>
    <cellStyle name="Link" xfId="680" builtinId="8" hidden="1"/>
    <cellStyle name="Link" xfId="682" builtinId="8" hidden="1"/>
    <cellStyle name="Link" xfId="684" builtinId="8" hidden="1"/>
    <cellStyle name="Link" xfId="686" builtinId="8" hidden="1"/>
    <cellStyle name="Link" xfId="688" builtinId="8" hidden="1"/>
    <cellStyle name="Link" xfId="690" builtinId="8" hidden="1"/>
    <cellStyle name="Link" xfId="692" builtinId="8" hidden="1"/>
    <cellStyle name="Link" xfId="694" builtinId="8" hidden="1"/>
    <cellStyle name="Link" xfId="696" builtinId="8" hidden="1"/>
    <cellStyle name="Link" xfId="698" builtinId="8" hidden="1"/>
    <cellStyle name="Link" xfId="700" builtinId="8" hidden="1"/>
    <cellStyle name="Link" xfId="702" builtinId="8" hidden="1"/>
    <cellStyle name="Link" xfId="704" builtinId="8" hidden="1"/>
    <cellStyle name="Link" xfId="706" builtinId="8" hidden="1"/>
    <cellStyle name="Link" xfId="708" builtinId="8" hidden="1"/>
    <cellStyle name="Link" xfId="710" builtinId="8" hidden="1"/>
    <cellStyle name="Link" xfId="712" builtinId="8" hidden="1"/>
    <cellStyle name="Link" xfId="714" builtinId="8" hidden="1"/>
    <cellStyle name="Link" xfId="716" builtinId="8" hidden="1"/>
    <cellStyle name="Link" xfId="718" builtinId="8" hidden="1"/>
    <cellStyle name="Link" xfId="720" builtinId="8" hidden="1"/>
    <cellStyle name="Link" xfId="722" builtinId="8" hidden="1"/>
    <cellStyle name="Link" xfId="724" builtinId="8" hidden="1"/>
    <cellStyle name="Link" xfId="726" builtinId="8" hidden="1"/>
    <cellStyle name="Link" xfId="728" builtinId="8" hidden="1"/>
    <cellStyle name="Link" xfId="730" builtinId="8" hidden="1"/>
    <cellStyle name="Link" xfId="732" builtinId="8" hidden="1"/>
    <cellStyle name="Link" xfId="734" builtinId="8" hidden="1"/>
    <cellStyle name="Link" xfId="736" builtinId="8" hidden="1"/>
    <cellStyle name="Link" xfId="738" builtinId="8" hidden="1"/>
    <cellStyle name="Link" xfId="740" builtinId="8" hidden="1"/>
    <cellStyle name="Link" xfId="742" builtinId="8" hidden="1"/>
    <cellStyle name="Link" xfId="744" builtinId="8" hidden="1"/>
    <cellStyle name="Link" xfId="746" builtinId="8" hidden="1"/>
    <cellStyle name="Link" xfId="748" builtinId="8" hidden="1"/>
    <cellStyle name="Link" xfId="750" builtinId="8" hidden="1"/>
    <cellStyle name="Link" xfId="752" builtinId="8" hidden="1"/>
    <cellStyle name="Link" xfId="754" builtinId="8" hidden="1"/>
    <cellStyle name="Link" xfId="756" builtinId="8" hidden="1"/>
    <cellStyle name="Link" xfId="758" builtinId="8" hidden="1"/>
    <cellStyle name="Link" xfId="760" builtinId="8" hidden="1"/>
    <cellStyle name="Link" xfId="762" builtinId="8" hidden="1"/>
    <cellStyle name="Link" xfId="764" builtinId="8" hidden="1"/>
    <cellStyle name="Link" xfId="766" builtinId="8" hidden="1"/>
    <cellStyle name="Link" xfId="768" builtinId="8" hidden="1"/>
    <cellStyle name="Link" xfId="770" builtinId="8" hidden="1"/>
    <cellStyle name="Link" xfId="772" builtinId="8" hidden="1"/>
    <cellStyle name="Link" xfId="774" builtinId="8" hidden="1"/>
    <cellStyle name="Link" xfId="776" builtinId="8" hidden="1"/>
    <cellStyle name="Link" xfId="778" builtinId="8" hidden="1"/>
    <cellStyle name="Link" xfId="780" builtinId="8" hidden="1"/>
    <cellStyle name="Link" xfId="782" builtinId="8" hidden="1"/>
    <cellStyle name="Link" xfId="784" builtinId="8" hidden="1"/>
    <cellStyle name="Link" xfId="786" builtinId="8" hidden="1"/>
    <cellStyle name="Link" xfId="788" builtinId="8" hidden="1"/>
    <cellStyle name="Link" xfId="790" builtinId="8" hidden="1"/>
    <cellStyle name="Link" xfId="792" builtinId="8" hidden="1"/>
    <cellStyle name="Link" xfId="794" builtinId="8" hidden="1"/>
    <cellStyle name="Link" xfId="796" builtinId="8" hidden="1"/>
    <cellStyle name="Link" xfId="798" builtinId="8" hidden="1"/>
    <cellStyle name="Link" xfId="800" builtinId="8" hidden="1"/>
    <cellStyle name="Link" xfId="802" builtinId="8" hidden="1"/>
    <cellStyle name="Link" xfId="804" builtinId="8" hidden="1"/>
    <cellStyle name="Link" xfId="806" builtinId="8" hidden="1"/>
    <cellStyle name="Link" xfId="808" builtinId="8" hidden="1"/>
    <cellStyle name="Link" xfId="810" builtinId="8" hidden="1"/>
    <cellStyle name="Link" xfId="812" builtinId="8" hidden="1"/>
    <cellStyle name="Link" xfId="814" builtinId="8" hidden="1"/>
    <cellStyle name="Link" xfId="816" builtinId="8" hidden="1"/>
    <cellStyle name="Link" xfId="818" builtinId="8" hidden="1"/>
    <cellStyle name="Link" xfId="820" builtinId="8" hidden="1"/>
    <cellStyle name="Link" xfId="822" builtinId="8" hidden="1"/>
    <cellStyle name="Link" xfId="824" builtinId="8" hidden="1"/>
    <cellStyle name="Link" xfId="826" builtinId="8" hidden="1"/>
    <cellStyle name="Link" xfId="828" builtinId="8" hidden="1"/>
    <cellStyle name="Link" xfId="830" builtinId="8" hidden="1"/>
    <cellStyle name="Link" xfId="832" builtinId="8" hidden="1"/>
    <cellStyle name="Link" xfId="834" builtinId="8" hidden="1"/>
    <cellStyle name="Link" xfId="836" builtinId="8" hidden="1"/>
    <cellStyle name="Link" xfId="838" builtinId="8" hidden="1"/>
    <cellStyle name="Link" xfId="840" builtinId="8" hidden="1"/>
    <cellStyle name="Link" xfId="842" builtinId="8" hidden="1"/>
    <cellStyle name="Link" xfId="844" builtinId="8" hidden="1"/>
    <cellStyle name="Link" xfId="846" builtinId="8" hidden="1"/>
    <cellStyle name="Link" xfId="848" builtinId="8" hidden="1"/>
    <cellStyle name="Link" xfId="850" builtinId="8" hidden="1"/>
    <cellStyle name="Link" xfId="852" builtinId="8" hidden="1"/>
    <cellStyle name="Link" xfId="854" builtinId="8" hidden="1"/>
    <cellStyle name="Link" xfId="856" builtinId="8" hidden="1"/>
    <cellStyle name="Link" xfId="858" builtinId="8" hidden="1"/>
    <cellStyle name="Link" xfId="860" builtinId="8" hidden="1"/>
    <cellStyle name="Link" xfId="862" builtinId="8" hidden="1"/>
    <cellStyle name="Link" xfId="864" builtinId="8" hidden="1"/>
    <cellStyle name="Link" xfId="866" builtinId="8" hidden="1"/>
    <cellStyle name="Link" xfId="868" builtinId="8" hidden="1"/>
    <cellStyle name="Link" xfId="870" builtinId="8" hidden="1"/>
    <cellStyle name="Link" xfId="872" builtinId="8" hidden="1"/>
    <cellStyle name="Link" xfId="874" builtinId="8" hidden="1"/>
    <cellStyle name="Link" xfId="876" builtinId="8" hidden="1"/>
    <cellStyle name="Link" xfId="878" builtinId="8" hidden="1"/>
    <cellStyle name="Link" xfId="880" builtinId="8" hidden="1"/>
    <cellStyle name="Link" xfId="882" builtinId="8" hidden="1"/>
    <cellStyle name="Link" xfId="884" builtinId="8" hidden="1"/>
    <cellStyle name="Link" xfId="886" builtinId="8" hidden="1"/>
    <cellStyle name="Link" xfId="888" builtinId="8" hidden="1"/>
    <cellStyle name="Link" xfId="890" builtinId="8" hidden="1"/>
    <cellStyle name="Link" xfId="892" builtinId="8" hidden="1"/>
    <cellStyle name="Link" xfId="894" builtinId="8" hidden="1"/>
    <cellStyle name="Link" xfId="896" builtinId="8" hidden="1"/>
    <cellStyle name="Link" xfId="898" builtinId="8" hidden="1"/>
    <cellStyle name="Link" xfId="900" builtinId="8" hidden="1"/>
    <cellStyle name="Link" xfId="902" builtinId="8" hidden="1"/>
    <cellStyle name="Link" xfId="904" builtinId="8" hidden="1"/>
    <cellStyle name="Link" xfId="906" builtinId="8" hidden="1"/>
    <cellStyle name="Link" xfId="908" builtinId="8" hidden="1"/>
    <cellStyle name="Link" xfId="910" builtinId="8" hidden="1"/>
    <cellStyle name="Link" xfId="912" builtinId="8" hidden="1"/>
    <cellStyle name="Link" xfId="914" builtinId="8" hidden="1"/>
    <cellStyle name="Link" xfId="916" builtinId="8" hidden="1"/>
    <cellStyle name="Link" xfId="918" builtinId="8" hidden="1"/>
    <cellStyle name="Link" xfId="920" builtinId="8" hidden="1"/>
    <cellStyle name="Link" xfId="922" builtinId="8" hidden="1"/>
    <cellStyle name="Link" xfId="924" builtinId="8" hidden="1"/>
    <cellStyle name="Link" xfId="926" builtinId="8" hidden="1"/>
    <cellStyle name="Link" xfId="928" builtinId="8" hidden="1"/>
    <cellStyle name="Link" xfId="930" builtinId="8" hidden="1"/>
    <cellStyle name="Link" xfId="932" builtinId="8" hidden="1"/>
    <cellStyle name="Link" xfId="934" builtinId="8" hidden="1"/>
    <cellStyle name="Link" xfId="936" builtinId="8" hidden="1"/>
    <cellStyle name="Link" xfId="938" builtinId="8" hidden="1"/>
    <cellStyle name="Link" xfId="940" builtinId="8" hidden="1"/>
    <cellStyle name="Link" xfId="942" builtinId="8" hidden="1"/>
    <cellStyle name="Link" xfId="944" builtinId="8" hidden="1"/>
    <cellStyle name="Link" xfId="946" builtinId="8" hidden="1"/>
    <cellStyle name="Link" xfId="948" builtinId="8" hidden="1"/>
    <cellStyle name="Link" xfId="950" builtinId="8" hidden="1"/>
    <cellStyle name="Link" xfId="952" builtinId="8" hidden="1"/>
    <cellStyle name="Link" xfId="954" builtinId="8" hidden="1"/>
    <cellStyle name="Link" xfId="956" builtinId="8" hidden="1"/>
    <cellStyle name="Link" xfId="958" builtinId="8" hidden="1"/>
    <cellStyle name="Link" xfId="960" builtinId="8" hidden="1"/>
    <cellStyle name="Link" xfId="962" builtinId="8" hidden="1"/>
    <cellStyle name="Link" xfId="964" builtinId="8" hidden="1"/>
    <cellStyle name="Link" xfId="966" builtinId="8" hidden="1"/>
    <cellStyle name="Link" xfId="968" builtinId="8" hidden="1"/>
    <cellStyle name="Link" xfId="970" builtinId="8" hidden="1"/>
    <cellStyle name="Link" xfId="972" builtinId="8" hidden="1"/>
    <cellStyle name="Link" xfId="974" builtinId="8" hidden="1"/>
    <cellStyle name="Link" xfId="976" builtinId="8" hidden="1"/>
    <cellStyle name="Link" xfId="978" builtinId="8" hidden="1"/>
    <cellStyle name="Link" xfId="980" builtinId="8" hidden="1"/>
    <cellStyle name="Link" xfId="982" builtinId="8" hidden="1"/>
    <cellStyle name="Link" xfId="984" builtinId="8" hidden="1"/>
    <cellStyle name="Link" xfId="986" builtinId="8" hidden="1"/>
    <cellStyle name="Link" xfId="988" builtinId="8" hidden="1"/>
    <cellStyle name="Link" xfId="990" builtinId="8" hidden="1"/>
    <cellStyle name="Link" xfId="992" builtinId="8" hidden="1"/>
    <cellStyle name="Link" xfId="994" builtinId="8" hidden="1"/>
    <cellStyle name="Link" xfId="996" builtinId="8" hidden="1"/>
    <cellStyle name="Link" xfId="998" builtinId="8" hidden="1"/>
    <cellStyle name="Link" xfId="1000" builtinId="8" hidden="1"/>
    <cellStyle name="Link" xfId="1002" builtinId="8" hidden="1"/>
    <cellStyle name="Link" xfId="1004" builtinId="8" hidden="1"/>
    <cellStyle name="Link" xfId="1006" builtinId="8" hidden="1"/>
    <cellStyle name="Link" xfId="1008" builtinId="8" hidden="1"/>
    <cellStyle name="Link" xfId="1010" builtinId="8" hidden="1"/>
    <cellStyle name="Link" xfId="1012" builtinId="8" hidden="1"/>
    <cellStyle name="Link" xfId="1014" builtinId="8" hidden="1"/>
    <cellStyle name="Link" xfId="1016" builtinId="8" hidden="1"/>
    <cellStyle name="Link" xfId="1018" builtinId="8" hidden="1"/>
    <cellStyle name="Link" xfId="1020" builtinId="8" hidden="1"/>
    <cellStyle name="Link" xfId="1022" builtinId="8" hidden="1"/>
    <cellStyle name="Link" xfId="1024" builtinId="8" hidden="1"/>
    <cellStyle name="Link" xfId="1026" builtinId="8" hidden="1"/>
    <cellStyle name="Link" xfId="1028" builtinId="8" hidden="1"/>
    <cellStyle name="Link" xfId="1030" builtinId="8" hidden="1"/>
    <cellStyle name="Link" xfId="1032" builtinId="8" hidden="1"/>
    <cellStyle name="Link" xfId="1034" builtinId="8" hidden="1"/>
    <cellStyle name="Link" xfId="1036" builtinId="8" hidden="1"/>
    <cellStyle name="Link" xfId="1038" builtinId="8" hidden="1"/>
    <cellStyle name="Link" xfId="1040" builtinId="8" hidden="1"/>
    <cellStyle name="Link" xfId="1042" builtinId="8" hidden="1"/>
    <cellStyle name="Link" xfId="1044" builtinId="8" hidden="1"/>
    <cellStyle name="Link" xfId="1046" builtinId="8" hidden="1"/>
    <cellStyle name="Link" xfId="1048" builtinId="8" hidden="1"/>
    <cellStyle name="Link" xfId="1050" builtinId="8" hidden="1"/>
    <cellStyle name="Link" xfId="1052" builtinId="8" hidden="1"/>
    <cellStyle name="Link" xfId="1054" builtinId="8" hidden="1"/>
    <cellStyle name="Link" xfId="1056" builtinId="8" hidden="1"/>
    <cellStyle name="Link" xfId="1058" builtinId="8" hidden="1"/>
    <cellStyle name="Link" xfId="1060" builtinId="8" hidden="1"/>
    <cellStyle name="Link" xfId="1062" builtinId="8" hidden="1"/>
    <cellStyle name="Link" xfId="1064" builtinId="8" hidden="1"/>
    <cellStyle name="Link" xfId="1066" builtinId="8" hidden="1"/>
    <cellStyle name="Link" xfId="1068" builtinId="8" hidden="1"/>
    <cellStyle name="Link" xfId="1070" builtinId="8" hidden="1"/>
    <cellStyle name="Link" xfId="1072" builtinId="8" hidden="1"/>
    <cellStyle name="Link" xfId="1074" builtinId="8" hidden="1"/>
    <cellStyle name="Link" xfId="1076" builtinId="8" hidden="1"/>
    <cellStyle name="Link" xfId="1078" builtinId="8" hidden="1"/>
    <cellStyle name="Link" xfId="1080" builtinId="8" hidden="1"/>
    <cellStyle name="Link" xfId="1082" builtinId="8" hidden="1"/>
    <cellStyle name="Link" xfId="1084" builtinId="8" hidden="1"/>
    <cellStyle name="Link" xfId="1086" builtinId="8" hidden="1"/>
    <cellStyle name="Link" xfId="1088" builtinId="8" hidden="1"/>
    <cellStyle name="Link" xfId="1090" builtinId="8" hidden="1"/>
    <cellStyle name="Link" xfId="1092" builtinId="8" hidden="1"/>
    <cellStyle name="Link" xfId="1094" builtinId="8" hidden="1"/>
    <cellStyle name="Link" xfId="1096" builtinId="8" hidden="1"/>
    <cellStyle name="Link" xfId="1098" builtinId="8" hidden="1"/>
    <cellStyle name="Link" xfId="1100" builtinId="8" hidden="1"/>
    <cellStyle name="Link" xfId="1102" builtinId="8" hidden="1"/>
    <cellStyle name="Link" xfId="1104" builtinId="8" hidden="1"/>
    <cellStyle name="Link" xfId="1106" builtinId="8" hidden="1"/>
    <cellStyle name="Link" xfId="1108" builtinId="8" hidden="1"/>
    <cellStyle name="Link" xfId="1110" builtinId="8" hidden="1"/>
    <cellStyle name="Link" xfId="1112" builtinId="8" hidden="1"/>
    <cellStyle name="Link" xfId="1114" builtinId="8" hidden="1"/>
    <cellStyle name="Link" xfId="1116" builtinId="8" hidden="1"/>
    <cellStyle name="Link" xfId="1118" builtinId="8" hidden="1"/>
    <cellStyle name="Link" xfId="1120" builtinId="8" hidden="1"/>
    <cellStyle name="Link" xfId="1122" builtinId="8" hidden="1"/>
    <cellStyle name="Link" xfId="1124" builtinId="8" hidden="1"/>
    <cellStyle name="Link" xfId="1126" builtinId="8" hidden="1"/>
    <cellStyle name="Link" xfId="1128" builtinId="8" hidden="1"/>
    <cellStyle name="Link" xfId="1130" builtinId="8" hidden="1"/>
    <cellStyle name="Link" xfId="1132" builtinId="8" hidden="1"/>
    <cellStyle name="Link" xfId="1134" builtinId="8" hidden="1"/>
    <cellStyle name="Link" xfId="1136" builtinId="8" hidden="1"/>
    <cellStyle name="Link" xfId="1138" builtinId="8" hidden="1"/>
    <cellStyle name="Link" xfId="1140" builtinId="8" hidden="1"/>
    <cellStyle name="Link" xfId="1142" builtinId="8" hidden="1"/>
    <cellStyle name="Link" xfId="1144" builtinId="8" hidden="1"/>
    <cellStyle name="Link" xfId="1146" builtinId="8" hidden="1"/>
    <cellStyle name="Link" xfId="1148" builtinId="8" hidden="1"/>
    <cellStyle name="Link" xfId="1150" builtinId="8" hidden="1"/>
    <cellStyle name="Link" xfId="1152" builtinId="8" hidden="1"/>
    <cellStyle name="Link" xfId="1154" builtinId="8" hidden="1"/>
    <cellStyle name="Link" xfId="1156" builtinId="8" hidden="1"/>
    <cellStyle name="Link" xfId="1158" builtinId="8" hidden="1"/>
    <cellStyle name="Link" xfId="1160" builtinId="8" hidden="1"/>
    <cellStyle name="Link" xfId="1162" builtinId="8" hidden="1"/>
    <cellStyle name="Link" xfId="1164" builtinId="8" hidden="1"/>
    <cellStyle name="Link" xfId="1166" builtinId="8" hidden="1"/>
    <cellStyle name="Link" xfId="1168" builtinId="8" hidden="1"/>
    <cellStyle name="Link" xfId="1170" builtinId="8" hidden="1"/>
    <cellStyle name="Link" xfId="1172" builtinId="8" hidden="1"/>
    <cellStyle name="Link" xfId="1174" builtinId="8" hidden="1"/>
    <cellStyle name="Link" xfId="1176" builtinId="8" hidden="1"/>
    <cellStyle name="Link" xfId="1178" builtinId="8" hidden="1"/>
    <cellStyle name="Link" xfId="1180" builtinId="8" hidden="1"/>
    <cellStyle name="Link" xfId="1182" builtinId="8" hidden="1"/>
    <cellStyle name="Link" xfId="1184" builtinId="8" hidden="1"/>
    <cellStyle name="Link" xfId="1186" builtinId="8" hidden="1"/>
    <cellStyle name="Link" xfId="1188" builtinId="8" hidden="1"/>
    <cellStyle name="Link" xfId="1190" builtinId="8" hidden="1"/>
    <cellStyle name="Link" xfId="1192" builtinId="8" hidden="1"/>
    <cellStyle name="Link" xfId="1194" builtinId="8" hidden="1"/>
    <cellStyle name="Link" xfId="1196" builtinId="8" hidden="1"/>
    <cellStyle name="Link" xfId="1198" builtinId="8" hidden="1"/>
    <cellStyle name="Link" xfId="1200" builtinId="8" hidden="1"/>
    <cellStyle name="Link" xfId="1202" builtinId="8" hidden="1"/>
    <cellStyle name="Link" xfId="1204" builtinId="8" hidden="1"/>
    <cellStyle name="Link" xfId="1206" builtinId="8" hidden="1"/>
    <cellStyle name="Link" xfId="1208" builtinId="8" hidden="1"/>
    <cellStyle name="Link" xfId="1210" builtinId="8" hidden="1"/>
    <cellStyle name="Link" xfId="1212" builtinId="8" hidden="1"/>
    <cellStyle name="Link" xfId="1214" builtinId="8" hidden="1"/>
    <cellStyle name="Link" xfId="1216" builtinId="8" hidden="1"/>
    <cellStyle name="Link" xfId="1218" builtinId="8" hidden="1"/>
    <cellStyle name="Link" xfId="1220" builtinId="8" hidden="1"/>
    <cellStyle name="Link" xfId="1222" builtinId="8" hidden="1"/>
    <cellStyle name="Link" xfId="1224" builtinId="8" hidden="1"/>
    <cellStyle name="Link" xfId="1226" builtinId="8" hidden="1"/>
    <cellStyle name="Link" xfId="1228" builtinId="8" hidden="1"/>
    <cellStyle name="Link" xfId="1230" builtinId="8" hidden="1"/>
    <cellStyle name="Link" xfId="1232" builtinId="8" hidden="1"/>
    <cellStyle name="Link" xfId="1234" builtinId="8" hidden="1"/>
    <cellStyle name="Link" xfId="1236" builtinId="8" hidden="1"/>
    <cellStyle name="Link" xfId="1238" builtinId="8" hidden="1"/>
    <cellStyle name="Link" xfId="1240" builtinId="8" hidden="1"/>
    <cellStyle name="Link" xfId="1242" builtinId="8" hidden="1"/>
    <cellStyle name="Link" xfId="1244" builtinId="8" hidden="1"/>
    <cellStyle name="Link" xfId="1246" builtinId="8" hidden="1"/>
    <cellStyle name="Link" xfId="1248" builtinId="8" hidden="1"/>
    <cellStyle name="Link" xfId="1250" builtinId="8" hidden="1"/>
    <cellStyle name="Link" xfId="1252" builtinId="8" hidden="1"/>
    <cellStyle name="Link" xfId="1254" builtinId="8" hidden="1"/>
    <cellStyle name="Link" xfId="1256" builtinId="8" hidden="1"/>
    <cellStyle name="Link" xfId="1258" builtinId="8" hidden="1"/>
    <cellStyle name="Link" xfId="1260" builtinId="8" hidden="1"/>
    <cellStyle name="Link" xfId="1262" builtinId="8" hidden="1"/>
    <cellStyle name="Link" xfId="1264" builtinId="8" hidden="1"/>
    <cellStyle name="Link" xfId="1266" builtinId="8" hidden="1"/>
    <cellStyle name="Link" xfId="1268" builtinId="8" hidden="1"/>
    <cellStyle name="Link" xfId="1270" builtinId="8" hidden="1"/>
    <cellStyle name="Link" xfId="1272" builtinId="8" hidden="1"/>
    <cellStyle name="Link" xfId="1274" builtinId="8" hidden="1"/>
    <cellStyle name="Link" xfId="1276" builtinId="8" hidden="1"/>
    <cellStyle name="Link" xfId="1278" builtinId="8" hidden="1"/>
    <cellStyle name="Link" xfId="1280" builtinId="8" hidden="1"/>
    <cellStyle name="Link" xfId="1282" builtinId="8" hidden="1"/>
    <cellStyle name="Link" xfId="1284" builtinId="8" hidden="1"/>
    <cellStyle name="Link" xfId="1286" builtinId="8" hidden="1"/>
    <cellStyle name="Link" xfId="1288" builtinId="8" hidden="1"/>
    <cellStyle name="Link" xfId="1290" builtinId="8" hidden="1"/>
    <cellStyle name="Link" xfId="1292" builtinId="8" hidden="1"/>
    <cellStyle name="Link" xfId="1294" builtinId="8" hidden="1"/>
    <cellStyle name="Link" xfId="1296" builtinId="8" hidden="1"/>
    <cellStyle name="Link" xfId="1298" builtinId="8" hidden="1"/>
    <cellStyle name="Link" xfId="1300" builtinId="8" hidden="1"/>
    <cellStyle name="Link" xfId="1302" builtinId="8" hidden="1"/>
    <cellStyle name="Link" xfId="1304" builtinId="8" hidden="1"/>
    <cellStyle name="Link" xfId="1306" builtinId="8" hidden="1"/>
    <cellStyle name="Link" xfId="1308" builtinId="8" hidden="1"/>
    <cellStyle name="Link" xfId="1310" builtinId="8" hidden="1"/>
    <cellStyle name="Link" xfId="1312" builtinId="8" hidden="1"/>
    <cellStyle name="Link" xfId="1314" builtinId="8" hidden="1"/>
    <cellStyle name="Link" xfId="1316" builtinId="8" hidden="1"/>
    <cellStyle name="Link" xfId="1318" builtinId="8" hidden="1"/>
    <cellStyle name="Link" xfId="1320" builtinId="8" hidden="1"/>
    <cellStyle name="Link" xfId="1322" builtinId="8" hidden="1"/>
    <cellStyle name="Link" xfId="1324" builtinId="8" hidden="1"/>
    <cellStyle name="Link" xfId="1326" builtinId="8" hidden="1"/>
    <cellStyle name="Link" xfId="1328" builtinId="8" hidden="1"/>
    <cellStyle name="Link" xfId="1330" builtinId="8" hidden="1"/>
    <cellStyle name="Link" xfId="1332" builtinId="8" hidden="1"/>
    <cellStyle name="Link" xfId="1334" builtinId="8" hidden="1"/>
    <cellStyle name="Link" xfId="1336" builtinId="8" hidden="1"/>
    <cellStyle name="Link" xfId="1338" builtinId="8" hidden="1"/>
    <cellStyle name="Link" xfId="1340" builtinId="8" hidden="1"/>
    <cellStyle name="Link" xfId="1342" builtinId="8" hidden="1"/>
    <cellStyle name="Link" xfId="1344" builtinId="8" hidden="1"/>
    <cellStyle name="Link" xfId="1346" builtinId="8" hidden="1"/>
    <cellStyle name="Link" xfId="1348" builtinId="8" hidden="1"/>
    <cellStyle name="Link" xfId="1350" builtinId="8" hidden="1"/>
    <cellStyle name="Link" xfId="1352" builtinId="8" hidden="1"/>
    <cellStyle name="Link" xfId="1354" builtinId="8" hidden="1"/>
    <cellStyle name="Link" xfId="1356" builtinId="8" hidden="1"/>
    <cellStyle name="Link" xfId="1358" builtinId="8" hidden="1"/>
    <cellStyle name="Link" xfId="1360" builtinId="8" hidden="1"/>
    <cellStyle name="Link" xfId="1362" builtinId="8" hidden="1"/>
    <cellStyle name="Link" xfId="1364" builtinId="8" hidden="1"/>
    <cellStyle name="Link" xfId="1366" builtinId="8" hidden="1"/>
    <cellStyle name="Link" xfId="1368" builtinId="8" hidden="1"/>
    <cellStyle name="Link" xfId="1370" builtinId="8" hidden="1"/>
    <cellStyle name="Link" xfId="1372" builtinId="8" hidden="1"/>
    <cellStyle name="Link" xfId="1374" builtinId="8" hidden="1"/>
    <cellStyle name="Link" xfId="1376" builtinId="8" hidden="1"/>
    <cellStyle name="Link" xfId="1378" builtinId="8" hidden="1"/>
    <cellStyle name="Link" xfId="1380" builtinId="8" hidden="1"/>
    <cellStyle name="Link" xfId="1382" builtinId="8" hidden="1"/>
    <cellStyle name="Link" xfId="1384" builtinId="8" hidden="1"/>
    <cellStyle name="Link" xfId="1386" builtinId="8" hidden="1"/>
    <cellStyle name="Link" xfId="1388" builtinId="8" hidden="1"/>
    <cellStyle name="Link" xfId="1390" builtinId="8" hidden="1"/>
    <cellStyle name="Link" xfId="1392" builtinId="8" hidden="1"/>
    <cellStyle name="Link" xfId="1394" builtinId="8" hidden="1"/>
    <cellStyle name="Link" xfId="1396" builtinId="8" hidden="1"/>
    <cellStyle name="Link" xfId="1398" builtinId="8" hidden="1"/>
    <cellStyle name="Link" xfId="1400" builtinId="8" hidden="1"/>
    <cellStyle name="Link" xfId="1402" builtinId="8" hidden="1"/>
    <cellStyle name="Link" xfId="1404" builtinId="8" hidden="1"/>
    <cellStyle name="Link" xfId="1406" builtinId="8" hidden="1"/>
    <cellStyle name="Link" xfId="1408" builtinId="8" hidden="1"/>
    <cellStyle name="Link" xfId="1410" builtinId="8" hidden="1"/>
    <cellStyle name="Link" xfId="1412" builtinId="8" hidden="1"/>
    <cellStyle name="Link" xfId="1414" builtinId="8" hidden="1"/>
    <cellStyle name="Link" xfId="1416" builtinId="8" hidden="1"/>
    <cellStyle name="Link" xfId="1418" builtinId="8" hidden="1"/>
    <cellStyle name="Link" xfId="1420" builtinId="8" hidden="1"/>
    <cellStyle name="Link" xfId="1422" builtinId="8" hidden="1"/>
    <cellStyle name="Link" xfId="1424" builtinId="8" hidden="1"/>
    <cellStyle name="Link" xfId="1426" builtinId="8" hidden="1"/>
    <cellStyle name="Link" xfId="1428" builtinId="8" hidden="1"/>
    <cellStyle name="Link" xfId="1430" builtinId="8" hidden="1"/>
    <cellStyle name="Link" xfId="1432" builtinId="8" hidden="1"/>
    <cellStyle name="Link" xfId="1434" builtinId="8" hidden="1"/>
    <cellStyle name="Link" xfId="1436" builtinId="8" hidden="1"/>
    <cellStyle name="Link" xfId="1438" builtinId="8" hidden="1"/>
    <cellStyle name="Link" xfId="1440" builtinId="8" hidden="1"/>
    <cellStyle name="Link" xfId="1442" builtinId="8" hidden="1"/>
    <cellStyle name="Link" xfId="1444" builtinId="8" hidden="1"/>
    <cellStyle name="Link" xfId="1446" builtinId="8" hidden="1"/>
    <cellStyle name="Link" xfId="1448" builtinId="8" hidden="1"/>
    <cellStyle name="Link" xfId="1450" builtinId="8" hidden="1"/>
    <cellStyle name="Link" xfId="1452" builtinId="8" hidden="1"/>
    <cellStyle name="Link" xfId="1454" builtinId="8" hidden="1"/>
    <cellStyle name="Link" xfId="1456" builtinId="8" hidden="1"/>
    <cellStyle name="Link" xfId="1458" builtinId="8" hidden="1"/>
    <cellStyle name="Link" xfId="1460" builtinId="8" hidden="1"/>
    <cellStyle name="Link" xfId="1462" builtinId="8" hidden="1"/>
    <cellStyle name="Link" xfId="1464" builtinId="8" hidden="1"/>
    <cellStyle name="Link" xfId="1466" builtinId="8" hidden="1"/>
    <cellStyle name="Link" xfId="1468" builtinId="8" hidden="1"/>
    <cellStyle name="Link" xfId="1470" builtinId="8" hidden="1"/>
    <cellStyle name="Link" xfId="1472" builtinId="8" hidden="1"/>
    <cellStyle name="Link" xfId="1474" builtinId="8" hidden="1"/>
    <cellStyle name="Link" xfId="1476" builtinId="8" hidden="1"/>
    <cellStyle name="Link" xfId="1478" builtinId="8" hidden="1"/>
    <cellStyle name="Link" xfId="1480" builtinId="8" hidden="1"/>
    <cellStyle name="Link" xfId="1482" builtinId="8" hidden="1"/>
    <cellStyle name="Link" xfId="1484" builtinId="8" hidden="1"/>
    <cellStyle name="Link" xfId="1486" builtinId="8" hidden="1"/>
    <cellStyle name="Link" xfId="1488" builtinId="8" hidden="1"/>
    <cellStyle name="Link" xfId="1490" builtinId="8" hidden="1"/>
    <cellStyle name="Link" xfId="1492" builtinId="8" hidden="1"/>
    <cellStyle name="Link" xfId="1494" builtinId="8" hidden="1"/>
    <cellStyle name="Link" xfId="1496" builtinId="8" hidden="1"/>
    <cellStyle name="Link" xfId="1498" builtinId="8" hidden="1"/>
    <cellStyle name="Link" xfId="1500" builtinId="8" hidden="1"/>
    <cellStyle name="Link" xfId="1502" builtinId="8" hidden="1"/>
    <cellStyle name="Link" xfId="1504" builtinId="8" hidden="1"/>
    <cellStyle name="Link" xfId="1506" builtinId="8" hidden="1"/>
    <cellStyle name="Link" xfId="1508" builtinId="8" hidden="1"/>
    <cellStyle name="Link" xfId="1510" builtinId="8" hidden="1"/>
    <cellStyle name="Link" xfId="1512" builtinId="8" hidden="1"/>
    <cellStyle name="Link" xfId="1514" builtinId="8" hidden="1"/>
    <cellStyle name="Link" xfId="1516" builtinId="8" hidden="1"/>
    <cellStyle name="Link" xfId="1518" builtinId="8" hidden="1"/>
    <cellStyle name="Link" xfId="1520" builtinId="8" hidden="1"/>
    <cellStyle name="Link" xfId="1522" builtinId="8" hidden="1"/>
    <cellStyle name="Link" xfId="1524" builtinId="8" hidden="1"/>
    <cellStyle name="Link" xfId="1526" builtinId="8" hidden="1"/>
    <cellStyle name="Link" xfId="1528" builtinId="8" hidden="1"/>
    <cellStyle name="Link" xfId="1530" builtinId="8" hidden="1"/>
    <cellStyle name="Link" xfId="1532" builtinId="8" hidden="1"/>
    <cellStyle name="Link" xfId="1534" builtinId="8" hidden="1"/>
    <cellStyle name="Link" xfId="1536" builtinId="8" hidden="1"/>
    <cellStyle name="Link" xfId="1538" builtinId="8" hidden="1"/>
    <cellStyle name="Link" xfId="1540" builtinId="8" hidden="1"/>
    <cellStyle name="Link" xfId="1542" builtinId="8" hidden="1"/>
    <cellStyle name="Link" xfId="1544" builtinId="8" hidden="1"/>
    <cellStyle name="Link" xfId="1546" builtinId="8" hidden="1"/>
    <cellStyle name="Link" xfId="1548" builtinId="8" hidden="1"/>
    <cellStyle name="Link" xfId="1550" builtinId="8" hidden="1"/>
    <cellStyle name="Link" xfId="1552" builtinId="8" hidden="1"/>
    <cellStyle name="Link" xfId="1554" builtinId="8" hidden="1"/>
    <cellStyle name="Link" xfId="1556" builtinId="8" hidden="1"/>
    <cellStyle name="Link" xfId="1558" builtinId="8" hidden="1"/>
    <cellStyle name="Link" xfId="1560" builtinId="8" hidden="1"/>
    <cellStyle name="Link" xfId="1562" builtinId="8" hidden="1"/>
    <cellStyle name="Link" xfId="1564" builtinId="8" hidden="1"/>
    <cellStyle name="Link" xfId="1566" builtinId="8" hidden="1"/>
    <cellStyle name="Link" xfId="1568" builtinId="8" hidden="1"/>
    <cellStyle name="Link" xfId="1570" builtinId="8" hidden="1"/>
    <cellStyle name="Link" xfId="1572" builtinId="8" hidden="1"/>
    <cellStyle name="Link" xfId="1574" builtinId="8" hidden="1"/>
    <cellStyle name="Link" xfId="1576" builtinId="8" hidden="1"/>
    <cellStyle name="Link" xfId="1578" builtinId="8" hidden="1"/>
    <cellStyle name="Link" xfId="1580" builtinId="8" hidden="1"/>
    <cellStyle name="Link" xfId="1582" builtinId="8" hidden="1"/>
    <cellStyle name="Link" xfId="1584" builtinId="8" hidden="1"/>
    <cellStyle name="Link" xfId="1586" builtinId="8" hidden="1"/>
    <cellStyle name="Link" xfId="1588" builtinId="8" hidden="1"/>
    <cellStyle name="Link" xfId="1590" builtinId="8" hidden="1"/>
    <cellStyle name="Link" xfId="1592" builtinId="8" hidden="1"/>
    <cellStyle name="Link" xfId="1594" builtinId="8" hidden="1"/>
    <cellStyle name="Link" xfId="1596" builtinId="8" hidden="1"/>
    <cellStyle name="Link" xfId="1598" builtinId="8" hidden="1"/>
    <cellStyle name="Link" xfId="1600" builtinId="8" hidden="1"/>
    <cellStyle name="Link" xfId="1602" builtinId="8" hidden="1"/>
    <cellStyle name="Link" xfId="1604" builtinId="8" hidden="1"/>
    <cellStyle name="Link" xfId="1606" builtinId="8" hidden="1"/>
    <cellStyle name="Link" xfId="1608" builtinId="8" hidden="1"/>
    <cellStyle name="Link" xfId="1610" builtinId="8" hidden="1"/>
    <cellStyle name="Link" xfId="1612" builtinId="8" hidden="1"/>
    <cellStyle name="Link" xfId="1614" builtinId="8" hidden="1"/>
    <cellStyle name="Link" xfId="1616" builtinId="8" hidden="1"/>
    <cellStyle name="Link" xfId="1618" builtinId="8" hidden="1"/>
    <cellStyle name="Link" xfId="1620" builtinId="8" hidden="1"/>
    <cellStyle name="Link" xfId="1622" builtinId="8" hidden="1"/>
    <cellStyle name="Link" xfId="1624" builtinId="8" hidden="1"/>
    <cellStyle name="Link" xfId="1626" builtinId="8" hidden="1"/>
    <cellStyle name="Link" xfId="1628" builtinId="8" hidden="1"/>
    <cellStyle name="Link" xfId="1630" builtinId="8" hidden="1"/>
    <cellStyle name="Link" xfId="1632" builtinId="8" hidden="1"/>
    <cellStyle name="Link" xfId="1634" builtinId="8" hidden="1"/>
    <cellStyle name="Link" xfId="1636" builtinId="8" hidden="1"/>
    <cellStyle name="Link" xfId="1638" builtinId="8" hidden="1"/>
    <cellStyle name="Link" xfId="1640" builtinId="8" hidden="1"/>
    <cellStyle name="Link" xfId="1642" builtinId="8" hidden="1"/>
    <cellStyle name="Link" xfId="1644" builtinId="8" hidden="1"/>
    <cellStyle name="Link" xfId="1646" builtinId="8" hidden="1"/>
    <cellStyle name="Link" xfId="1648" builtinId="8" hidden="1"/>
    <cellStyle name="Link" xfId="1650" builtinId="8" hidden="1"/>
    <cellStyle name="Link" xfId="1652" builtinId="8" hidden="1"/>
    <cellStyle name="Link" xfId="1654" builtinId="8" hidden="1"/>
    <cellStyle name="Link" xfId="1656" builtinId="8" hidden="1"/>
    <cellStyle name="Link" xfId="1658" builtinId="8" hidden="1"/>
    <cellStyle name="Link" xfId="1660" builtinId="8" hidden="1"/>
    <cellStyle name="Link" xfId="1662" builtinId="8" hidden="1"/>
    <cellStyle name="Link" xfId="1664" builtinId="8" hidden="1"/>
    <cellStyle name="Link" xfId="1666" builtinId="8" hidden="1"/>
    <cellStyle name="Link" xfId="1668" builtinId="8" hidden="1"/>
    <cellStyle name="Link" xfId="1670" builtinId="8" hidden="1"/>
    <cellStyle name="Link" xfId="1672" builtinId="8" hidden="1"/>
    <cellStyle name="Link" xfId="1674" builtinId="8" hidden="1"/>
    <cellStyle name="Link" xfId="1676" builtinId="8" hidden="1"/>
    <cellStyle name="Link" xfId="1678" builtinId="8" hidden="1"/>
    <cellStyle name="Link" xfId="1680" builtinId="8" hidden="1"/>
    <cellStyle name="Link" xfId="1682" builtinId="8" hidden="1"/>
    <cellStyle name="Link" xfId="1684" builtinId="8" hidden="1"/>
    <cellStyle name="Link" xfId="1686" builtinId="8" hidden="1"/>
    <cellStyle name="Link" xfId="1688" builtinId="8" hidden="1"/>
    <cellStyle name="Link" xfId="1690" builtinId="8" hidden="1"/>
    <cellStyle name="Link" xfId="1692" builtinId="8" hidden="1"/>
    <cellStyle name="Link" xfId="1694" builtinId="8" hidden="1"/>
    <cellStyle name="Link" xfId="1696" builtinId="8" hidden="1"/>
    <cellStyle name="Link" xfId="1698" builtinId="8" hidden="1"/>
    <cellStyle name="Link" xfId="1700" builtinId="8" hidden="1"/>
    <cellStyle name="Link" xfId="1702" builtinId="8" hidden="1"/>
    <cellStyle name="Link" xfId="1704" builtinId="8" hidden="1"/>
    <cellStyle name="Link" xfId="1706" builtinId="8" hidden="1"/>
    <cellStyle name="Link" xfId="1708" builtinId="8" hidden="1"/>
    <cellStyle name="Link" xfId="1710" builtinId="8" hidden="1"/>
    <cellStyle name="Link" xfId="1712" builtinId="8" hidden="1"/>
    <cellStyle name="Link" xfId="1714" builtinId="8" hidden="1"/>
    <cellStyle name="Link" xfId="1716" builtinId="8" hidden="1"/>
    <cellStyle name="Link" xfId="1718" builtinId="8" hidden="1"/>
    <cellStyle name="Link" xfId="1720" builtinId="8" hidden="1"/>
    <cellStyle name="Link" xfId="1722" builtinId="8" hidden="1"/>
    <cellStyle name="Link" xfId="1724" builtinId="8" hidden="1"/>
    <cellStyle name="Link" xfId="1726" builtinId="8" hidden="1"/>
    <cellStyle name="Link" xfId="1728" builtinId="8" hidden="1"/>
    <cellStyle name="Link" xfId="1730" builtinId="8" hidden="1"/>
    <cellStyle name="Link" xfId="1732" builtinId="8" hidden="1"/>
    <cellStyle name="Link" xfId="1734" builtinId="8" hidden="1"/>
    <cellStyle name="Link" xfId="1736" builtinId="8" hidden="1"/>
    <cellStyle name="Link" xfId="1738" builtinId="8" hidden="1"/>
    <cellStyle name="Link" xfId="1740" builtinId="8" hidden="1"/>
    <cellStyle name="Link" xfId="1742" builtinId="8" hidden="1"/>
    <cellStyle name="Link" xfId="1744" builtinId="8" hidden="1"/>
    <cellStyle name="Link" xfId="1746" builtinId="8" hidden="1"/>
    <cellStyle name="Link" xfId="1748" builtinId="8" hidden="1"/>
    <cellStyle name="Link" xfId="1750" builtinId="8" hidden="1"/>
    <cellStyle name="Link" xfId="1752" builtinId="8" hidden="1"/>
    <cellStyle name="Link" xfId="1754" builtinId="8" hidden="1"/>
    <cellStyle name="Link" xfId="1756" builtinId="8" hidden="1"/>
    <cellStyle name="Link" xfId="1758" builtinId="8" hidden="1"/>
    <cellStyle name="Link" xfId="1760" builtinId="8" hidden="1"/>
    <cellStyle name="Link" xfId="1762" builtinId="8" hidden="1"/>
    <cellStyle name="Link" xfId="1764" builtinId="8" hidden="1"/>
    <cellStyle name="Link" xfId="1766" builtinId="8" hidden="1"/>
    <cellStyle name="Link" xfId="1768" builtinId="8" hidden="1"/>
    <cellStyle name="Link" xfId="1770" builtinId="8" hidden="1"/>
    <cellStyle name="Link" xfId="1772" builtinId="8" hidden="1"/>
    <cellStyle name="Link" xfId="1774" builtinId="8" hidden="1"/>
    <cellStyle name="Link" xfId="1776" builtinId="8" hidden="1"/>
    <cellStyle name="Link" xfId="1778" builtinId="8" hidden="1"/>
    <cellStyle name="Link" xfId="1780" builtinId="8" hidden="1"/>
    <cellStyle name="Link" xfId="1782" builtinId="8" hidden="1"/>
    <cellStyle name="Link" xfId="1784" builtinId="8" hidden="1"/>
    <cellStyle name="Link" xfId="1786" builtinId="8" hidden="1"/>
    <cellStyle name="Link" xfId="1788" builtinId="8" hidden="1"/>
    <cellStyle name="Link" xfId="1790" builtinId="8" hidden="1"/>
    <cellStyle name="Link" xfId="1792" builtinId="8" hidden="1"/>
    <cellStyle name="Link" xfId="1794" builtinId="8" hidden="1"/>
    <cellStyle name="Link" xfId="1796" builtinId="8" hidden="1"/>
    <cellStyle name="Link" xfId="1798" builtinId="8" hidden="1"/>
    <cellStyle name="Link" xfId="1800" builtinId="8" hidden="1"/>
    <cellStyle name="Link" xfId="1802" builtinId="8" hidden="1"/>
    <cellStyle name="Link" xfId="1804" builtinId="8" hidden="1"/>
    <cellStyle name="Link" xfId="1806" builtinId="8" hidden="1"/>
    <cellStyle name="Link" xfId="1808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IF</c:v>
          </c:tx>
          <c:spPr>
            <a:ln w="47625">
              <a:noFill/>
            </a:ln>
          </c:spPr>
          <c:yVal>
            <c:numRef>
              <c:f>Saurian_muscle_architecture!$K$92:$K$98</c:f>
              <c:numCache>
                <c:formatCode>General</c:formatCode>
                <c:ptCount val="7"/>
                <c:pt idx="0">
                  <c:v>9.5847953216374247E-4</c:v>
                </c:pt>
                <c:pt idx="1">
                  <c:v>5.2796067261349968E-4</c:v>
                </c:pt>
                <c:pt idx="2">
                  <c:v>3.8973022008462075E-4</c:v>
                </c:pt>
                <c:pt idx="3">
                  <c:v>6.5655355521563946E-4</c:v>
                </c:pt>
                <c:pt idx="4">
                  <c:v>3.1601886073731318E-4</c:v>
                </c:pt>
                <c:pt idx="5">
                  <c:v>1.067012987012987E-3</c:v>
                </c:pt>
                <c:pt idx="6">
                  <c:v>6.8815235596432608E-4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CB-4945-8326-9EE4C4210A09}"/>
            </c:ext>
          </c:extLst>
        </c:ser>
        <c:ser>
          <c:idx val="3"/>
          <c:order val="1"/>
          <c:tx>
            <c:v>Varanus ILFEM</c:v>
          </c:tx>
          <c:spPr>
            <a:ln w="47625">
              <a:noFill/>
            </a:ln>
          </c:spPr>
          <c:yVal>
            <c:numRef>
              <c:f>Saurian_muscle_architecture!$K$99:$K$104</c:f>
              <c:numCache>
                <c:formatCode>General</c:formatCode>
                <c:ptCount val="6"/>
                <c:pt idx="0">
                  <c:v>5.3982851351517234E-4</c:v>
                </c:pt>
                <c:pt idx="1">
                  <c:v>1.0091628262833086E-3</c:v>
                </c:pt>
                <c:pt idx="2">
                  <c:v>6.6939900043710217E-4</c:v>
                </c:pt>
                <c:pt idx="3">
                  <c:v>2.5986666839639995E-4</c:v>
                </c:pt>
                <c:pt idx="4">
                  <c:v>4.7969905669614717E-4</c:v>
                </c:pt>
                <c:pt idx="5">
                  <c:v>6.8933113548893317E-4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CB-4945-8326-9EE4C4210A09}"/>
            </c:ext>
          </c:extLst>
        </c:ser>
        <c:ser>
          <c:idx val="2"/>
          <c:order val="2"/>
          <c:tx>
            <c:v>Geckos ILFE</c:v>
          </c:tx>
          <c:spPr>
            <a:ln w="47625">
              <a:noFill/>
            </a:ln>
          </c:spPr>
          <c:yVal>
            <c:numRef>
              <c:f>Saurian_muscle_architecture!$K$105:$K$108</c:f>
              <c:numCache>
                <c:formatCode>General</c:formatCode>
                <c:ptCount val="4"/>
                <c:pt idx="0">
                  <c:v>6.0265787575976097E-4</c:v>
                </c:pt>
                <c:pt idx="1">
                  <c:v>6.0691670725767169E-4</c:v>
                </c:pt>
                <c:pt idx="2">
                  <c:v>4.0701754385964913E-4</c:v>
                </c:pt>
                <c:pt idx="3">
                  <c:v>4.1972920696324947E-4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6CB-4945-8326-9EE4C4210A09}"/>
            </c:ext>
          </c:extLst>
        </c:ser>
        <c:ser>
          <c:idx val="1"/>
          <c:order val="3"/>
          <c:tx>
            <c:v>Euparkeria</c:v>
          </c:tx>
          <c:spPr>
            <a:ln w="47625">
              <a:noFill/>
            </a:ln>
          </c:spPr>
          <c:yVal>
            <c:numRef>
              <c:f>Saurian_muscle_architecture!$K$109</c:f>
              <c:numCache>
                <c:formatCode>General</c:formatCode>
                <c:ptCount val="1"/>
                <c:pt idx="0">
                  <c:v>1.0666484755912739E-3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6CB-4945-8326-9EE4C4210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0797608"/>
        <c:axId val="-2021480760"/>
      </c:scatterChart>
      <c:valAx>
        <c:axId val="-2020797608"/>
        <c:scaling>
          <c:orientation val="minMax"/>
        </c:scaling>
        <c:delete val="0"/>
        <c:axPos val="b"/>
        <c:majorTickMark val="out"/>
        <c:minorTickMark val="none"/>
        <c:tickLblPos val="nextTo"/>
        <c:crossAx val="-2021480760"/>
        <c:crosses val="autoZero"/>
        <c:crossBetween val="midCat"/>
      </c:valAx>
      <c:valAx>
        <c:axId val="-2021480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207976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FDL</c:v>
          </c:tx>
          <c:spPr>
            <a:ln w="47625">
              <a:noFill/>
            </a:ln>
          </c:spPr>
          <c:yVal>
            <c:numRef>
              <c:f>Saurian_muscle_architecture!$K$519:$K$525</c:f>
              <c:numCache>
                <c:formatCode>General</c:formatCode>
                <c:ptCount val="7"/>
                <c:pt idx="0">
                  <c:v>5.3656503513769833E-4</c:v>
                </c:pt>
                <c:pt idx="1">
                  <c:v>3.3625512003111378E-4</c:v>
                </c:pt>
                <c:pt idx="2">
                  <c:v>6.4890416823643309E-4</c:v>
                </c:pt>
                <c:pt idx="3">
                  <c:v>4.5642576278560529E-4</c:v>
                </c:pt>
                <c:pt idx="4">
                  <c:v>3.6537248346365305E-4</c:v>
                </c:pt>
                <c:pt idx="5">
                  <c:v>3.8850289402821354E-4</c:v>
                </c:pt>
                <c:pt idx="6">
                  <c:v>6.7110880664022761E-4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1B-FE45-B53F-5AD13AFA8E38}"/>
            </c:ext>
          </c:extLst>
        </c:ser>
        <c:ser>
          <c:idx val="3"/>
          <c:order val="1"/>
          <c:tx>
            <c:v>Varanus FDL</c:v>
          </c:tx>
          <c:spPr>
            <a:ln w="47625">
              <a:noFill/>
            </a:ln>
          </c:spPr>
          <c:yVal>
            <c:numRef>
              <c:f>Saurian_muscle_architecture!$K$526:$K$529</c:f>
              <c:numCache>
                <c:formatCode>General</c:formatCode>
                <c:ptCount val="4"/>
                <c:pt idx="0">
                  <c:v>1.3600000000000001E-3</c:v>
                </c:pt>
                <c:pt idx="1">
                  <c:v>8.9999999999999987E-4</c:v>
                </c:pt>
                <c:pt idx="2">
                  <c:v>2.3000000000000001E-4</c:v>
                </c:pt>
                <c:pt idx="3">
                  <c:v>1.1200000000000001E-3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1B-FE45-B53F-5AD13AFA8E38}"/>
            </c:ext>
          </c:extLst>
        </c:ser>
        <c:ser>
          <c:idx val="2"/>
          <c:order val="2"/>
          <c:tx>
            <c:v>Geckos FDL</c:v>
          </c:tx>
          <c:spPr>
            <a:ln w="47625">
              <a:noFill/>
            </a:ln>
          </c:spPr>
          <c:yVal>
            <c:numRef>
              <c:f>Saurian_muscle_architecture!$K$530:$K$533</c:f>
              <c:numCache>
                <c:formatCode>General</c:formatCode>
                <c:ptCount val="4"/>
                <c:pt idx="0">
                  <c:v>8.3475857822547727E-4</c:v>
                </c:pt>
                <c:pt idx="1">
                  <c:v>9.4921584489550436E-4</c:v>
                </c:pt>
                <c:pt idx="2">
                  <c:v>7.7192982456140351E-4</c:v>
                </c:pt>
                <c:pt idx="3">
                  <c:v>7.8336557059961319E-4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91B-FE45-B53F-5AD13AFA8E38}"/>
            </c:ext>
          </c:extLst>
        </c:ser>
        <c:ser>
          <c:idx val="1"/>
          <c:order val="3"/>
          <c:tx>
            <c:v>Euparkeria FDL</c:v>
          </c:tx>
          <c:spPr>
            <a:ln w="47625">
              <a:noFill/>
            </a:ln>
          </c:spPr>
          <c:yVal>
            <c:numRef>
              <c:f>Saurian_muscle_architecture!$K$534</c:f>
              <c:numCache>
                <c:formatCode>General</c:formatCode>
                <c:ptCount val="1"/>
                <c:pt idx="0">
                  <c:v>1.1116284364668027E-3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91B-FE45-B53F-5AD13AFA8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6704456"/>
        <c:axId val="-2016701320"/>
      </c:scatterChart>
      <c:valAx>
        <c:axId val="-2016704456"/>
        <c:scaling>
          <c:orientation val="minMax"/>
        </c:scaling>
        <c:delete val="0"/>
        <c:axPos val="b"/>
        <c:majorTickMark val="out"/>
        <c:minorTickMark val="none"/>
        <c:tickLblPos val="nextTo"/>
        <c:crossAx val="-2016701320"/>
        <c:crosses val="autoZero"/>
        <c:crossBetween val="midCat"/>
      </c:valAx>
      <c:valAx>
        <c:axId val="-2016701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167044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FHL</c:v>
          </c:tx>
          <c:spPr>
            <a:ln w="47625">
              <a:noFill/>
            </a:ln>
          </c:spPr>
          <c:yVal>
            <c:numRef>
              <c:f>Saurian_muscle_architecture!$K$537:$K$543</c:f>
              <c:numCache>
                <c:formatCode>General</c:formatCode>
                <c:ptCount val="7"/>
                <c:pt idx="0">
                  <c:v>1.7453698945621562E-4</c:v>
                </c:pt>
                <c:pt idx="1">
                  <c:v>1.2882714663621395E-4</c:v>
                </c:pt>
                <c:pt idx="2">
                  <c:v>3.1306428690217508E-4</c:v>
                </c:pt>
                <c:pt idx="3">
                  <c:v>1.3330519435014807E-4</c:v>
                </c:pt>
                <c:pt idx="4">
                  <c:v>8.3283433730685613E-5</c:v>
                </c:pt>
                <c:pt idx="5">
                  <c:v>1.3168831168831167E-4</c:v>
                </c:pt>
                <c:pt idx="6">
                  <c:v>1.6562779671169928E-4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AB-834E-A611-8EBC11B1FC0E}"/>
            </c:ext>
          </c:extLst>
        </c:ser>
        <c:ser>
          <c:idx val="1"/>
          <c:order val="1"/>
          <c:tx>
            <c:v>Euparkeria FHL</c:v>
          </c:tx>
          <c:spPr>
            <a:ln w="47625">
              <a:noFill/>
            </a:ln>
          </c:spPr>
          <c:yVal>
            <c:numRef>
              <c:f>Saurian_muscle_architecture!$K$544</c:f>
              <c:numCache>
                <c:formatCode>General</c:formatCode>
                <c:ptCount val="1"/>
                <c:pt idx="0">
                  <c:v>3.020654260650222E-4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AB-834E-A611-8EBC11B1F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8016504"/>
        <c:axId val="-2017812504"/>
      </c:scatterChart>
      <c:valAx>
        <c:axId val="-2098016504"/>
        <c:scaling>
          <c:orientation val="minMax"/>
        </c:scaling>
        <c:delete val="0"/>
        <c:axPos val="b"/>
        <c:majorTickMark val="out"/>
        <c:minorTickMark val="none"/>
        <c:tickLblPos val="nextTo"/>
        <c:crossAx val="-2017812504"/>
        <c:crosses val="autoZero"/>
        <c:crossBetween val="midCat"/>
      </c:valAx>
      <c:valAx>
        <c:axId val="-2017812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80165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EDL</c:v>
          </c:tx>
          <c:spPr>
            <a:ln w="47625">
              <a:noFill/>
            </a:ln>
          </c:spPr>
          <c:yVal>
            <c:numRef>
              <c:f>Saurian_muscle_architecture!$K$547:$K$553</c:f>
              <c:numCache>
                <c:formatCode>General</c:formatCode>
                <c:ptCount val="7"/>
                <c:pt idx="0">
                  <c:v>7.8152148528547985E-4</c:v>
                </c:pt>
                <c:pt idx="1">
                  <c:v>4.0897199460246083E-4</c:v>
                </c:pt>
                <c:pt idx="2">
                  <c:v>4.3090638930163444E-4</c:v>
                </c:pt>
                <c:pt idx="3">
                  <c:v>4.7738916213645508E-4</c:v>
                </c:pt>
                <c:pt idx="4">
                  <c:v>2.9701628080694382E-4</c:v>
                </c:pt>
                <c:pt idx="5">
                  <c:v>6.3792207792207783E-4</c:v>
                </c:pt>
                <c:pt idx="6">
                  <c:v>5.9987005188926747E-4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BB-4A46-9C9D-C1E5D4CDEEF1}"/>
            </c:ext>
          </c:extLst>
        </c:ser>
        <c:ser>
          <c:idx val="3"/>
          <c:order val="1"/>
          <c:tx>
            <c:v>Varanus EDL</c:v>
          </c:tx>
          <c:spPr>
            <a:ln w="47625">
              <a:noFill/>
            </a:ln>
          </c:spPr>
          <c:yVal>
            <c:numRef>
              <c:f>Saurian_muscle_architecture!$K$554:$K$562</c:f>
              <c:numCache>
                <c:formatCode>General</c:formatCode>
                <c:ptCount val="9"/>
                <c:pt idx="0">
                  <c:v>2.1000000000000001E-4</c:v>
                </c:pt>
                <c:pt idx="1">
                  <c:v>5.199999999999999E-5</c:v>
                </c:pt>
                <c:pt idx="2">
                  <c:v>8.8999999999999981E-5</c:v>
                </c:pt>
                <c:pt idx="3">
                  <c:v>1.3299098795931583E-3</c:v>
                </c:pt>
                <c:pt idx="4">
                  <c:v>8.6999346945543113E-4</c:v>
                </c:pt>
                <c:pt idx="5">
                  <c:v>1.3599686555118484E-3</c:v>
                </c:pt>
                <c:pt idx="6">
                  <c:v>8.0000000000000004E-4</c:v>
                </c:pt>
                <c:pt idx="7">
                  <c:v>1.43999729770316E-3</c:v>
                </c:pt>
                <c:pt idx="8">
                  <c:v>1.0999895287928077E-3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6BB-4A46-9C9D-C1E5D4CDEEF1}"/>
            </c:ext>
          </c:extLst>
        </c:ser>
        <c:ser>
          <c:idx val="2"/>
          <c:order val="2"/>
          <c:tx>
            <c:v>Geckos EDL</c:v>
          </c:tx>
          <c:spPr>
            <a:ln w="47625">
              <a:noFill/>
            </a:ln>
          </c:spPr>
          <c:yVal>
            <c:numRef>
              <c:f>Saurian_muscle_architecture!$K$563:$K$566</c:f>
              <c:numCache>
                <c:formatCode>General</c:formatCode>
                <c:ptCount val="4"/>
                <c:pt idx="0">
                  <c:v>7.1597816009065615E-4</c:v>
                </c:pt>
                <c:pt idx="1">
                  <c:v>6.3419386264003895E-4</c:v>
                </c:pt>
                <c:pt idx="2">
                  <c:v>1.8771929824561401E-4</c:v>
                </c:pt>
                <c:pt idx="3">
                  <c:v>3.0367504835589936E-4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6BB-4A46-9C9D-C1E5D4CDEEF1}"/>
            </c:ext>
          </c:extLst>
        </c:ser>
        <c:ser>
          <c:idx val="1"/>
          <c:order val="3"/>
          <c:tx>
            <c:v>Euparkeria EDL</c:v>
          </c:tx>
          <c:spPr>
            <a:ln w="47625">
              <a:noFill/>
            </a:ln>
          </c:spPr>
          <c:yVal>
            <c:numRef>
              <c:f>Saurian_muscle_architecture!$K$567</c:f>
              <c:numCache>
                <c:formatCode>General</c:formatCode>
                <c:ptCount val="1"/>
                <c:pt idx="0">
                  <c:v>1.3992931179365919E-3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6BB-4A46-9C9D-C1E5D4CDE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9053464"/>
        <c:axId val="2072328216"/>
      </c:scatterChart>
      <c:valAx>
        <c:axId val="-2109053464"/>
        <c:scaling>
          <c:orientation val="minMax"/>
        </c:scaling>
        <c:delete val="0"/>
        <c:axPos val="b"/>
        <c:majorTickMark val="out"/>
        <c:minorTickMark val="none"/>
        <c:tickLblPos val="nextTo"/>
        <c:crossAx val="2072328216"/>
        <c:crosses val="autoZero"/>
        <c:crossBetween val="midCat"/>
      </c:valAx>
      <c:valAx>
        <c:axId val="2072328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090534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TA</c:v>
          </c:tx>
          <c:spPr>
            <a:ln w="47625">
              <a:noFill/>
            </a:ln>
          </c:spPr>
          <c:yVal>
            <c:numRef>
              <c:f>Saurian_muscle_architecture!$K$570:$K$576</c:f>
              <c:numCache>
                <c:formatCode>General</c:formatCode>
                <c:ptCount val="7"/>
                <c:pt idx="0">
                  <c:v>5.6432748538011695E-4</c:v>
                </c:pt>
                <c:pt idx="1">
                  <c:v>4.0700000000000003E-4</c:v>
                </c:pt>
                <c:pt idx="2">
                  <c:v>4.5071817731550274E-4</c:v>
                </c:pt>
                <c:pt idx="3">
                  <c:v>3.6306859205776173E-4</c:v>
                </c:pt>
                <c:pt idx="4">
                  <c:v>3.4964028776978415E-4</c:v>
                </c:pt>
                <c:pt idx="5">
                  <c:v>5.1441558441558445E-4</c:v>
                </c:pt>
                <c:pt idx="6">
                  <c:v>5.448108108108107E-4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1B-0743-AD4B-CF5C945C467A}"/>
            </c:ext>
          </c:extLst>
        </c:ser>
        <c:ser>
          <c:idx val="3"/>
          <c:order val="1"/>
          <c:tx>
            <c:v>Varanus TIBA</c:v>
          </c:tx>
          <c:spPr>
            <a:ln w="47625">
              <a:noFill/>
            </a:ln>
          </c:spPr>
          <c:yVal>
            <c:numRef>
              <c:f>Saurian_muscle_architecture!$K$577:$K$580</c:f>
              <c:numCache>
                <c:formatCode>General</c:formatCode>
                <c:ptCount val="4"/>
                <c:pt idx="0">
                  <c:v>5.5753178364422503E-4</c:v>
                </c:pt>
                <c:pt idx="1">
                  <c:v>5.8831365225537713E-4</c:v>
                </c:pt>
                <c:pt idx="2">
                  <c:v>1.6313939166241549E-3</c:v>
                </c:pt>
                <c:pt idx="3">
                  <c:v>6.9991824743976822E-4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1B-0743-AD4B-CF5C945C467A}"/>
            </c:ext>
          </c:extLst>
        </c:ser>
        <c:ser>
          <c:idx val="2"/>
          <c:order val="2"/>
          <c:tx>
            <c:v>Geckos TIAN</c:v>
          </c:tx>
          <c:spPr>
            <a:ln w="47625">
              <a:noFill/>
            </a:ln>
          </c:spPr>
          <c:yVal>
            <c:numRef>
              <c:f>Saurian_muscle_architecture!$K$581:$K$584</c:f>
              <c:numCache>
                <c:formatCode>General</c:formatCode>
                <c:ptCount val="4"/>
                <c:pt idx="0">
                  <c:v>4.3537694143072636E-4</c:v>
                </c:pt>
                <c:pt idx="1">
                  <c:v>6.9043613196557259E-4</c:v>
                </c:pt>
                <c:pt idx="2">
                  <c:v>2.4115863599856073E-4</c:v>
                </c:pt>
                <c:pt idx="3">
                  <c:v>2.1757635219417338E-4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B1B-0743-AD4B-CF5C945C467A}"/>
            </c:ext>
          </c:extLst>
        </c:ser>
        <c:ser>
          <c:idx val="1"/>
          <c:order val="3"/>
          <c:tx>
            <c:v>Euparkeria TA</c:v>
          </c:tx>
          <c:spPr>
            <a:ln w="47625">
              <a:noFill/>
            </a:ln>
          </c:spPr>
          <c:yVal>
            <c:numRef>
              <c:f>Saurian_muscle_architecture!$K$585</c:f>
              <c:numCache>
                <c:formatCode>General</c:formatCode>
                <c:ptCount val="1"/>
                <c:pt idx="0">
                  <c:v>1.0524965743264035E-3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B1B-0743-AD4B-CF5C945C4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8760056"/>
        <c:axId val="-2109129656"/>
      </c:scatterChart>
      <c:valAx>
        <c:axId val="-2108760056"/>
        <c:scaling>
          <c:orientation val="minMax"/>
        </c:scaling>
        <c:delete val="0"/>
        <c:axPos val="b"/>
        <c:majorTickMark val="out"/>
        <c:minorTickMark val="none"/>
        <c:tickLblPos val="nextTo"/>
        <c:crossAx val="-2109129656"/>
        <c:crosses val="autoZero"/>
        <c:crossBetween val="midCat"/>
      </c:valAx>
      <c:valAx>
        <c:axId val="-2109129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087600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PIT</c:v>
          </c:tx>
          <c:spPr>
            <a:ln w="47625">
              <a:noFill/>
            </a:ln>
          </c:spPr>
          <c:xVal>
            <c:numRef>
              <c:f>Saurian_muscle_architecture!$M$271:$M$277</c:f>
              <c:numCache>
                <c:formatCode>General</c:formatCode>
                <c:ptCount val="7"/>
                <c:pt idx="0">
                  <c:v>4.0673227612021703E-2</c:v>
                </c:pt>
                <c:pt idx="1">
                  <c:v>2.931124382950866E-2</c:v>
                </c:pt>
                <c:pt idx="2">
                  <c:v>3.3251164740092737E-2</c:v>
                </c:pt>
                <c:pt idx="3">
                  <c:v>4.2440979371977029E-2</c:v>
                </c:pt>
                <c:pt idx="4">
                  <c:v>3.5642743794530821E-2</c:v>
                </c:pt>
                <c:pt idx="5">
                  <c:v>4.512334966620591E-2</c:v>
                </c:pt>
                <c:pt idx="6">
                  <c:v>3.5640771758773102E-2</c:v>
                </c:pt>
              </c:numCache>
            </c:numRef>
          </c:xVal>
          <c:yVal>
            <c:numRef>
              <c:f>Saurian_muscle_architecture!$K$271:$K$277</c:f>
              <c:numCache>
                <c:formatCode>General</c:formatCode>
                <c:ptCount val="7"/>
                <c:pt idx="0">
                  <c:v>5.5074718165604771E-4</c:v>
                </c:pt>
                <c:pt idx="1">
                  <c:v>6.1716923127394508E-4</c:v>
                </c:pt>
                <c:pt idx="2">
                  <c:v>4.3585933630510153E-4</c:v>
                </c:pt>
                <c:pt idx="3">
                  <c:v>4.9530685920577612E-4</c:v>
                </c:pt>
                <c:pt idx="4">
                  <c:v>4.5201967368474006E-4</c:v>
                </c:pt>
                <c:pt idx="5">
                  <c:v>6.8363636363636369E-4</c:v>
                </c:pt>
                <c:pt idx="6">
                  <c:v>4.2904027554500755E-4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E1-044A-B97E-4ABA26718FA4}"/>
            </c:ext>
          </c:extLst>
        </c:ser>
        <c:ser>
          <c:idx val="3"/>
          <c:order val="1"/>
          <c:tx>
            <c:v>Varanus PIT</c:v>
          </c:tx>
          <c:spPr>
            <a:ln w="47625">
              <a:noFill/>
            </a:ln>
          </c:spPr>
          <c:xVal>
            <c:numRef>
              <c:f>Saurian_muscle_architecture!$M$278:$M$286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6.8780000000000008E-2</c:v>
                </c:pt>
                <c:pt idx="5">
                  <c:v>5.9389999999999998E-2</c:v>
                </c:pt>
                <c:pt idx="6">
                  <c:v>0</c:v>
                </c:pt>
                <c:pt idx="7">
                  <c:v>5.7290000000000001E-2</c:v>
                </c:pt>
                <c:pt idx="8">
                  <c:v>5.4290000000000005E-2</c:v>
                </c:pt>
              </c:numCache>
            </c:numRef>
          </c:xVal>
          <c:yVal>
            <c:numRef>
              <c:f>Saurian_muscle_architecture!$K$278:$K$286</c:f>
              <c:numCache>
                <c:formatCode>General</c:formatCode>
                <c:ptCount val="9"/>
                <c:pt idx="0">
                  <c:v>1.1100000000000001E-3</c:v>
                </c:pt>
                <c:pt idx="1">
                  <c:v>2.2800000000000003E-3</c:v>
                </c:pt>
                <c:pt idx="2">
                  <c:v>3.2500000000000003E-3</c:v>
                </c:pt>
                <c:pt idx="3">
                  <c:v>2.63E-3</c:v>
                </c:pt>
                <c:pt idx="4">
                  <c:v>5.4099999999999999E-3</c:v>
                </c:pt>
                <c:pt idx="5">
                  <c:v>3.7799999999999995E-3</c:v>
                </c:pt>
                <c:pt idx="6">
                  <c:v>2.49E-3</c:v>
                </c:pt>
                <c:pt idx="7">
                  <c:v>4.5700000000000003E-3</c:v>
                </c:pt>
                <c:pt idx="8">
                  <c:v>4.7099999999999998E-3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E1-044A-B97E-4ABA26718FA4}"/>
            </c:ext>
          </c:extLst>
        </c:ser>
        <c:ser>
          <c:idx val="2"/>
          <c:order val="2"/>
          <c:tx>
            <c:v>Geckos PIT</c:v>
          </c:tx>
          <c:spPr>
            <a:ln w="47625">
              <a:noFill/>
            </a:ln>
          </c:spPr>
          <c:xVal>
            <c:numRef>
              <c:f>Saurian_muscle_architecture!$M$287:$M$290</c:f>
              <c:numCache>
                <c:formatCode>General</c:formatCode>
                <c:ptCount val="4"/>
                <c:pt idx="0">
                  <c:v>2.1711368817681001E-2</c:v>
                </c:pt>
                <c:pt idx="1">
                  <c:v>3.4284343255560581E-2</c:v>
                </c:pt>
                <c:pt idx="2">
                  <c:v>2.4985673773255751E-2</c:v>
                </c:pt>
                <c:pt idx="3">
                  <c:v>2.386314729036015E-2</c:v>
                </c:pt>
              </c:numCache>
            </c:numRef>
          </c:xVal>
          <c:yVal>
            <c:numRef>
              <c:f>Saurian_muscle_architecture!$K$287:$K$290</c:f>
              <c:numCache>
                <c:formatCode>General</c:formatCode>
                <c:ptCount val="4"/>
                <c:pt idx="0">
                  <c:v>3.8185209836785403E-3</c:v>
                </c:pt>
                <c:pt idx="1">
                  <c:v>5.3826599321245162E-3</c:v>
                </c:pt>
                <c:pt idx="2">
                  <c:v>1.7760452598595403E-3</c:v>
                </c:pt>
                <c:pt idx="3">
                  <c:v>2.2120037127590919E-3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E1-044A-B97E-4ABA26718FA4}"/>
            </c:ext>
          </c:extLst>
        </c:ser>
        <c:ser>
          <c:idx val="1"/>
          <c:order val="3"/>
          <c:tx>
            <c:v>Euparkeria PIT</c:v>
          </c:tx>
          <c:spPr>
            <a:ln w="4762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Saurian_muscle_architecture!$K$291</c:f>
              <c:numCache>
                <c:formatCode>General</c:formatCode>
                <c:ptCount val="1"/>
                <c:pt idx="0">
                  <c:v>2.0763378248336135E-3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E1-044A-B97E-4ABA26718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3346136"/>
        <c:axId val="-2016732712"/>
      </c:scatterChart>
      <c:valAx>
        <c:axId val="2073346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000" b="1" i="0" baseline="0">
                    <a:effectLst/>
                  </a:rPr>
                  <a:t>L</a:t>
                </a:r>
                <a:r>
                  <a:rPr lang="de-DE" sz="1000" b="1" i="0" baseline="-25000">
                    <a:effectLst/>
                  </a:rPr>
                  <a:t>o</a:t>
                </a:r>
                <a:r>
                  <a:rPr lang="de-DE" sz="1000" b="1" i="0" baseline="0">
                    <a:effectLst/>
                  </a:rPr>
                  <a:t>/M</a:t>
                </a:r>
                <a:r>
                  <a:rPr lang="de-DE" sz="1000" b="1" i="0" baseline="-25000">
                    <a:effectLst/>
                  </a:rPr>
                  <a:t>body</a:t>
                </a:r>
                <a:r>
                  <a:rPr lang="de-DE" sz="1000" b="1" i="0" baseline="30000">
                    <a:effectLst/>
                  </a:rPr>
                  <a:t>0.33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16732712"/>
        <c:crosses val="autoZero"/>
        <c:crossBetween val="midCat"/>
      </c:valAx>
      <c:valAx>
        <c:axId val="-2016732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M</a:t>
                </a:r>
                <a:r>
                  <a:rPr lang="de-DE" sz="1000" b="1" i="0" baseline="-25000">
                    <a:effectLst/>
                  </a:rPr>
                  <a:t>muscle</a:t>
                </a:r>
                <a:r>
                  <a:rPr lang="de-DE" sz="1000" b="1" i="0" baseline="0">
                    <a:effectLst/>
                  </a:rPr>
                  <a:t>*cos(θ)/M</a:t>
                </a:r>
                <a:r>
                  <a:rPr lang="de-DE" sz="1000" b="1" i="0" baseline="-25000">
                    <a:effectLst/>
                  </a:rPr>
                  <a:t>body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733461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FB</c:v>
          </c:tx>
          <c:spPr>
            <a:ln w="47625">
              <a:noFill/>
            </a:ln>
          </c:spPr>
          <c:xVal>
            <c:numRef>
              <c:f>Saurian_muscle_architecture!$M$473:$M$479</c:f>
              <c:numCache>
                <c:formatCode>General</c:formatCode>
                <c:ptCount val="7"/>
                <c:pt idx="0">
                  <c:v>6.045566449350873E-3</c:v>
                </c:pt>
                <c:pt idx="1">
                  <c:v>6.7501937103505273E-3</c:v>
                </c:pt>
                <c:pt idx="2">
                  <c:v>1.8911816328265593E-2</c:v>
                </c:pt>
                <c:pt idx="3">
                  <c:v>9.7580834461553495E-3</c:v>
                </c:pt>
                <c:pt idx="4">
                  <c:v>1.0001591214792511E-2</c:v>
                </c:pt>
                <c:pt idx="5">
                  <c:v>1.3384044392518703E-2</c:v>
                </c:pt>
                <c:pt idx="6">
                  <c:v>1.8047666012675618E-2</c:v>
                </c:pt>
              </c:numCache>
            </c:numRef>
          </c:xVal>
          <c:yVal>
            <c:numRef>
              <c:f>Saurian_muscle_architecture!$K$473:$K$479</c:f>
              <c:numCache>
                <c:formatCode>General</c:formatCode>
                <c:ptCount val="7"/>
                <c:pt idx="0">
                  <c:v>1.1427499551537063E-4</c:v>
                </c:pt>
                <c:pt idx="1">
                  <c:v>9.6525706787073179E-5</c:v>
                </c:pt>
                <c:pt idx="2">
                  <c:v>7.4294205052005937E-5</c:v>
                </c:pt>
                <c:pt idx="3">
                  <c:v>1.1970831647969681E-4</c:v>
                </c:pt>
                <c:pt idx="4">
                  <c:v>5.4676258992805754E-5</c:v>
                </c:pt>
                <c:pt idx="5">
                  <c:v>1.3729275303690222E-4</c:v>
                </c:pt>
                <c:pt idx="6">
                  <c:v>1.5808980141589617E-4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11-4941-B597-A13E686C3045}"/>
            </c:ext>
          </c:extLst>
        </c:ser>
        <c:ser>
          <c:idx val="3"/>
          <c:order val="1"/>
          <c:tx>
            <c:v>Varanus PBREV</c:v>
          </c:tx>
          <c:spPr>
            <a:ln w="47625">
              <a:noFill/>
            </a:ln>
          </c:spPr>
          <c:xVal>
            <c:numRef>
              <c:f>Saurian_muscle_architecture!$M$480:$M$483</c:f>
              <c:numCache>
                <c:formatCode>General</c:formatCode>
                <c:ptCount val="4"/>
                <c:pt idx="0">
                  <c:v>2.1490000000000002E-2</c:v>
                </c:pt>
                <c:pt idx="1">
                  <c:v>3.2940000000000004E-2</c:v>
                </c:pt>
                <c:pt idx="2">
                  <c:v>2.9949999999999997E-2</c:v>
                </c:pt>
                <c:pt idx="3">
                  <c:v>3.0599999999999999E-2</c:v>
                </c:pt>
              </c:numCache>
            </c:numRef>
          </c:xVal>
          <c:yVal>
            <c:numRef>
              <c:f>Saurian_muscle_architecture!$K$480:$K$483</c:f>
              <c:numCache>
                <c:formatCode>General</c:formatCode>
                <c:ptCount val="4"/>
                <c:pt idx="0">
                  <c:v>8.3132636645476667E-4</c:v>
                </c:pt>
                <c:pt idx="1">
                  <c:v>6.6757237528808691E-4</c:v>
                </c:pt>
                <c:pt idx="2">
                  <c:v>8.5496602577051829E-4</c:v>
                </c:pt>
                <c:pt idx="3">
                  <c:v>8.757480236657642E-4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11-4941-B597-A13E686C3045}"/>
            </c:ext>
          </c:extLst>
        </c:ser>
        <c:ser>
          <c:idx val="2"/>
          <c:order val="2"/>
          <c:tx>
            <c:v>Gecko PERB</c:v>
          </c:tx>
          <c:spPr>
            <a:ln w="47625">
              <a:noFill/>
            </a:ln>
          </c:spPr>
          <c:xVal>
            <c:numRef>
              <c:f>Saurian_muscle_architecture!$M$484:$M$485</c:f>
              <c:numCache>
                <c:formatCode>General</c:formatCode>
                <c:ptCount val="2"/>
                <c:pt idx="0">
                  <c:v>8.0057433945864304E-3</c:v>
                </c:pt>
                <c:pt idx="1">
                  <c:v>1.3196557719265544E-2</c:v>
                </c:pt>
              </c:numCache>
            </c:numRef>
          </c:xVal>
          <c:yVal>
            <c:numRef>
              <c:f>Saurian_muscle_architecture!$K$484:$K$485</c:f>
              <c:numCache>
                <c:formatCode>General</c:formatCode>
                <c:ptCount val="2"/>
                <c:pt idx="0">
                  <c:v>2.3974775676961329E-4</c:v>
                </c:pt>
                <c:pt idx="1">
                  <c:v>3.9518016140864163E-4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11-4941-B597-A13E686C3045}"/>
            </c:ext>
          </c:extLst>
        </c:ser>
        <c:ser>
          <c:idx val="1"/>
          <c:order val="3"/>
          <c:tx>
            <c:v>Euparkeria FB</c:v>
          </c:tx>
          <c:spPr>
            <a:ln w="4762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Saurian_muscle_architecture!$K$486</c:f>
              <c:numCache>
                <c:formatCode>General</c:formatCode>
                <c:ptCount val="1"/>
                <c:pt idx="0">
                  <c:v>3.8574849748160224E-4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811-4941-B597-A13E686C3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6647768"/>
        <c:axId val="-2016640888"/>
      </c:scatterChart>
      <c:valAx>
        <c:axId val="-2016647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L</a:t>
                </a:r>
                <a:r>
                  <a:rPr lang="de-DE" sz="1000" b="1" i="0" baseline="-25000">
                    <a:effectLst/>
                  </a:rPr>
                  <a:t>o</a:t>
                </a:r>
                <a:r>
                  <a:rPr lang="de-DE" sz="1000" b="1" i="0" baseline="0">
                    <a:effectLst/>
                  </a:rPr>
                  <a:t>/M</a:t>
                </a:r>
                <a:r>
                  <a:rPr lang="de-DE" sz="1000" b="1" i="0" baseline="-25000">
                    <a:effectLst/>
                  </a:rPr>
                  <a:t>body</a:t>
                </a:r>
                <a:r>
                  <a:rPr lang="de-DE" sz="1000" b="1" i="0" baseline="30000">
                    <a:effectLst/>
                  </a:rPr>
                  <a:t>0.33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16640888"/>
        <c:crosses val="autoZero"/>
        <c:crossBetween val="midCat"/>
      </c:valAx>
      <c:valAx>
        <c:axId val="-2016640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1000" b="1" i="0" baseline="0">
                    <a:effectLst/>
                  </a:rPr>
                  <a:t>M</a:t>
                </a:r>
                <a:r>
                  <a:rPr lang="de-DE" sz="1000" b="1" i="0" baseline="-25000">
                    <a:effectLst/>
                  </a:rPr>
                  <a:t>muscle</a:t>
                </a:r>
                <a:r>
                  <a:rPr lang="de-DE" sz="1000" b="1" i="0" baseline="0">
                    <a:effectLst/>
                  </a:rPr>
                  <a:t>*cos(θ)/M</a:t>
                </a:r>
                <a:r>
                  <a:rPr lang="de-DE" sz="1000" b="1" i="0" baseline="-25000">
                    <a:effectLst/>
                  </a:rPr>
                  <a:t>body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166477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FL</c:v>
          </c:tx>
          <c:spPr>
            <a:ln w="47625">
              <a:noFill/>
            </a:ln>
          </c:spPr>
          <c:xVal>
            <c:numRef>
              <c:f>Saurian_muscle_architecture!$M$489:$M$495</c:f>
              <c:numCache>
                <c:formatCode>General</c:formatCode>
                <c:ptCount val="7"/>
                <c:pt idx="0">
                  <c:v>8.4246088021046883E-3</c:v>
                </c:pt>
                <c:pt idx="1">
                  <c:v>3.7148717063674036E-3</c:v>
                </c:pt>
                <c:pt idx="2">
                  <c:v>1.5950469475948102E-2</c:v>
                </c:pt>
                <c:pt idx="3">
                  <c:v>1.0961134829927924E-2</c:v>
                </c:pt>
                <c:pt idx="4">
                  <c:v>5.9638756590060325E-3</c:v>
                </c:pt>
                <c:pt idx="5">
                  <c:v>2.1414471028029926E-2</c:v>
                </c:pt>
                <c:pt idx="6">
                  <c:v>1.1050360080514564E-2</c:v>
                </c:pt>
              </c:numCache>
            </c:numRef>
          </c:xVal>
          <c:yVal>
            <c:numRef>
              <c:f>Saurian_muscle_architecture!$K$489:$K$495</c:f>
              <c:numCache>
                <c:formatCode>0.000000000</c:formatCode>
                <c:ptCount val="7"/>
                <c:pt idx="0" formatCode="General">
                  <c:v>2.6595894001601084E-4</c:v>
                </c:pt>
                <c:pt idx="1">
                  <c:v>2.2294344764321831E-5</c:v>
                </c:pt>
                <c:pt idx="2" formatCode="General">
                  <c:v>1.58494304110946E-4</c:v>
                </c:pt>
                <c:pt idx="3" formatCode="General">
                  <c:v>2.3992155287932203E-4</c:v>
                </c:pt>
                <c:pt idx="4" formatCode="General">
                  <c:v>1.0560814480190247E-4</c:v>
                </c:pt>
                <c:pt idx="5" formatCode="General">
                  <c:v>1.8490204724956068E-4</c:v>
                </c:pt>
                <c:pt idx="6" formatCode="General">
                  <c:v>2.4604702752591378E-4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50-254C-86B8-03FBB655447E}"/>
            </c:ext>
          </c:extLst>
        </c:ser>
        <c:ser>
          <c:idx val="3"/>
          <c:order val="1"/>
          <c:tx>
            <c:v>Varanus PLONG</c:v>
          </c:tx>
          <c:spPr>
            <a:ln w="47625">
              <a:noFill/>
            </a:ln>
          </c:spPr>
          <c:xVal>
            <c:numRef>
              <c:f>Saurian_muscle_architecture!$M$496:$M$501</c:f>
              <c:numCache>
                <c:formatCode>General</c:formatCode>
                <c:ptCount val="6"/>
                <c:pt idx="0">
                  <c:v>2.6589999999999996E-2</c:v>
                </c:pt>
                <c:pt idx="1">
                  <c:v>2.3079999999999996E-2</c:v>
                </c:pt>
                <c:pt idx="2">
                  <c:v>3.0200000000000001E-2</c:v>
                </c:pt>
                <c:pt idx="3">
                  <c:v>2.4490000000000001E-2</c:v>
                </c:pt>
                <c:pt idx="4">
                  <c:v>2.9560000000000003E-2</c:v>
                </c:pt>
                <c:pt idx="5">
                  <c:v>2.2770000000000002E-2</c:v>
                </c:pt>
              </c:numCache>
            </c:numRef>
          </c:xVal>
          <c:yVal>
            <c:numRef>
              <c:f>Saurian_muscle_architecture!$K$496:$K$501</c:f>
              <c:numCache>
                <c:formatCode>General</c:formatCode>
                <c:ptCount val="6"/>
                <c:pt idx="0">
                  <c:v>1.0870667842772619E-3</c:v>
                </c:pt>
                <c:pt idx="1">
                  <c:v>8.2947765339555794E-4</c:v>
                </c:pt>
                <c:pt idx="2">
                  <c:v>1.3694554954901809E-3</c:v>
                </c:pt>
                <c:pt idx="3">
                  <c:v>7.4246126392502553E-4</c:v>
                </c:pt>
                <c:pt idx="4">
                  <c:v>1.1860123739691943E-3</c:v>
                </c:pt>
                <c:pt idx="5">
                  <c:v>9.8562573882871583E-4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B50-254C-86B8-03FBB655447E}"/>
            </c:ext>
          </c:extLst>
        </c:ser>
        <c:ser>
          <c:idx val="2"/>
          <c:order val="2"/>
          <c:tx>
            <c:v>Geckos PERL</c:v>
          </c:tx>
          <c:spPr>
            <a:ln w="47625">
              <a:noFill/>
            </a:ln>
          </c:spPr>
          <c:xVal>
            <c:numRef>
              <c:f>Saurian_muscle_architecture!$M$502:$M$505</c:f>
              <c:numCache>
                <c:formatCode>General</c:formatCode>
                <c:ptCount val="4"/>
                <c:pt idx="0">
                  <c:v>1.0346149500231439E-2</c:v>
                </c:pt>
                <c:pt idx="1">
                  <c:v>1.4487387088207517E-2</c:v>
                </c:pt>
                <c:pt idx="2">
                  <c:v>9.4378312450070917E-3</c:v>
                </c:pt>
                <c:pt idx="3">
                  <c:v>1.2194711491219912E-2</c:v>
                </c:pt>
              </c:numCache>
            </c:numRef>
          </c:xVal>
          <c:yVal>
            <c:numRef>
              <c:f>Saurian_muscle_architecture!$K$502:$K$505</c:f>
              <c:numCache>
                <c:formatCode>General</c:formatCode>
                <c:ptCount val="4"/>
                <c:pt idx="0">
                  <c:v>3.4776509617281493E-4</c:v>
                </c:pt>
                <c:pt idx="1">
                  <c:v>6.8691899771723425E-4</c:v>
                </c:pt>
                <c:pt idx="2">
                  <c:v>5.2110502464024655E-4</c:v>
                </c:pt>
                <c:pt idx="3">
                  <c:v>4.922609161829469E-4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B50-254C-86B8-03FBB655447E}"/>
            </c:ext>
          </c:extLst>
        </c:ser>
        <c:ser>
          <c:idx val="1"/>
          <c:order val="3"/>
          <c:tx>
            <c:v>Euparkeria FL</c:v>
          </c:tx>
          <c:spPr>
            <a:ln w="4762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Saurian_muscle_architecture!$K$506</c:f>
              <c:numCache>
                <c:formatCode>General</c:formatCode>
                <c:ptCount val="1"/>
                <c:pt idx="0">
                  <c:v>1.1234166089275142E-3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B50-254C-86B8-03FBB6554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1509896"/>
        <c:axId val="-2021471608"/>
      </c:scatterChart>
      <c:valAx>
        <c:axId val="-2021509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L</a:t>
                </a:r>
                <a:r>
                  <a:rPr lang="de-DE" sz="1000" b="1" i="0" baseline="-25000">
                    <a:effectLst/>
                  </a:rPr>
                  <a:t>o</a:t>
                </a:r>
                <a:r>
                  <a:rPr lang="de-DE" sz="1000" b="1" i="0" baseline="0">
                    <a:effectLst/>
                  </a:rPr>
                  <a:t>/M</a:t>
                </a:r>
                <a:r>
                  <a:rPr lang="de-DE" sz="1000" b="1" i="0" baseline="-25000">
                    <a:effectLst/>
                  </a:rPr>
                  <a:t>body</a:t>
                </a:r>
                <a:r>
                  <a:rPr lang="de-DE" sz="1000" b="1" i="0" baseline="30000">
                    <a:effectLst/>
                  </a:rPr>
                  <a:t>0.33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21471608"/>
        <c:crosses val="autoZero"/>
        <c:crossBetween val="midCat"/>
      </c:valAx>
      <c:valAx>
        <c:axId val="-2021471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M</a:t>
                </a:r>
                <a:r>
                  <a:rPr lang="de-DE" sz="1000" b="1" i="0" baseline="-25000">
                    <a:effectLst/>
                  </a:rPr>
                  <a:t>muscle</a:t>
                </a:r>
                <a:r>
                  <a:rPr lang="de-DE" sz="1000" b="1" i="0" baseline="0">
                    <a:effectLst/>
                  </a:rPr>
                  <a:t>*cos(θ)/M</a:t>
                </a:r>
                <a:r>
                  <a:rPr lang="de-DE" sz="1000" b="1" i="0" baseline="-25000">
                    <a:effectLst/>
                  </a:rPr>
                  <a:t>body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215098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FDL</c:v>
          </c:tx>
          <c:spPr>
            <a:ln w="47625">
              <a:noFill/>
            </a:ln>
          </c:spPr>
          <c:xVal>
            <c:numRef>
              <c:f>Saurian_muscle_architecture!$M$519:$M$525</c:f>
              <c:numCache>
                <c:formatCode>General</c:formatCode>
                <c:ptCount val="7"/>
                <c:pt idx="0">
                  <c:v>8.2776679509051886E-3</c:v>
                </c:pt>
                <c:pt idx="1">
                  <c:v>6.7954970238428124E-3</c:v>
                </c:pt>
                <c:pt idx="2">
                  <c:v>3.3681456474792728E-3</c:v>
                </c:pt>
                <c:pt idx="3">
                  <c:v>1.0359609138041638E-2</c:v>
                </c:pt>
                <c:pt idx="4">
                  <c:v>1.1084690360979798E-2</c:v>
                </c:pt>
                <c:pt idx="5">
                  <c:v>1.2542761602131813E-2</c:v>
                </c:pt>
                <c:pt idx="6">
                  <c:v>1.0859444768551744E-2</c:v>
                </c:pt>
              </c:numCache>
            </c:numRef>
          </c:xVal>
          <c:yVal>
            <c:numRef>
              <c:f>Saurian_muscle_architecture!$K$519:$K$525</c:f>
              <c:numCache>
                <c:formatCode>General</c:formatCode>
                <c:ptCount val="7"/>
                <c:pt idx="0">
                  <c:v>5.3656503513769833E-4</c:v>
                </c:pt>
                <c:pt idx="1">
                  <c:v>3.3625512003111378E-4</c:v>
                </c:pt>
                <c:pt idx="2">
                  <c:v>6.4890416823643309E-4</c:v>
                </c:pt>
                <c:pt idx="3">
                  <c:v>4.5642576278560529E-4</c:v>
                </c:pt>
                <c:pt idx="4">
                  <c:v>3.6537248346365305E-4</c:v>
                </c:pt>
                <c:pt idx="5">
                  <c:v>3.8850289402821354E-4</c:v>
                </c:pt>
                <c:pt idx="6">
                  <c:v>6.7110880664022761E-4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4C-F342-B856-7BD976F13C54}"/>
            </c:ext>
          </c:extLst>
        </c:ser>
        <c:ser>
          <c:idx val="3"/>
          <c:order val="1"/>
          <c:tx>
            <c:v>Varanus FDL</c:v>
          </c:tx>
          <c:spPr>
            <a:ln w="47625">
              <a:noFill/>
            </a:ln>
          </c:spPr>
          <c:xVal>
            <c:numRef>
              <c:f>Saurian_muscle_architecture!$M$526:$M$529</c:f>
              <c:numCache>
                <c:formatCode>General</c:formatCode>
                <c:ptCount val="4"/>
                <c:pt idx="0">
                  <c:v>3.0649999999999997E-2</c:v>
                </c:pt>
                <c:pt idx="1">
                  <c:v>3.1010000000000003E-2</c:v>
                </c:pt>
                <c:pt idx="2">
                  <c:v>2.5519999999999998E-2</c:v>
                </c:pt>
                <c:pt idx="3">
                  <c:v>3.5949999999999996E-2</c:v>
                </c:pt>
              </c:numCache>
            </c:numRef>
          </c:xVal>
          <c:yVal>
            <c:numRef>
              <c:f>Saurian_muscle_architecture!$K$526:$K$529</c:f>
              <c:numCache>
                <c:formatCode>General</c:formatCode>
                <c:ptCount val="4"/>
                <c:pt idx="0">
                  <c:v>1.3600000000000001E-3</c:v>
                </c:pt>
                <c:pt idx="1">
                  <c:v>8.9999999999999987E-4</c:v>
                </c:pt>
                <c:pt idx="2">
                  <c:v>2.3000000000000001E-4</c:v>
                </c:pt>
                <c:pt idx="3">
                  <c:v>1.1200000000000001E-3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4C-F342-B856-7BD976F13C54}"/>
            </c:ext>
          </c:extLst>
        </c:ser>
        <c:ser>
          <c:idx val="2"/>
          <c:order val="2"/>
          <c:tx>
            <c:v>Geckos FDL</c:v>
          </c:tx>
          <c:spPr>
            <a:ln w="47625">
              <a:noFill/>
            </a:ln>
          </c:spPr>
          <c:xVal>
            <c:numRef>
              <c:f>Saurian_muscle_architecture!$M$530:$M$533</c:f>
              <c:numCache>
                <c:formatCode>General</c:formatCode>
                <c:ptCount val="4"/>
                <c:pt idx="0">
                  <c:v>1.611943910031885E-2</c:v>
                </c:pt>
                <c:pt idx="1">
                  <c:v>1.5710389626597529E-2</c:v>
                </c:pt>
                <c:pt idx="2">
                  <c:v>1.200383008636844E-2</c:v>
                </c:pt>
                <c:pt idx="3">
                  <c:v>1.260669498754491E-2</c:v>
                </c:pt>
              </c:numCache>
            </c:numRef>
          </c:xVal>
          <c:yVal>
            <c:numRef>
              <c:f>Saurian_muscle_architecture!$K$530:$K$533</c:f>
              <c:numCache>
                <c:formatCode>General</c:formatCode>
                <c:ptCount val="4"/>
                <c:pt idx="0">
                  <c:v>8.3475857822547727E-4</c:v>
                </c:pt>
                <c:pt idx="1">
                  <c:v>9.4921584489550436E-4</c:v>
                </c:pt>
                <c:pt idx="2">
                  <c:v>7.7192982456140351E-4</c:v>
                </c:pt>
                <c:pt idx="3">
                  <c:v>7.8336557059961319E-4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14C-F342-B856-7BD976F13C54}"/>
            </c:ext>
          </c:extLst>
        </c:ser>
        <c:ser>
          <c:idx val="1"/>
          <c:order val="3"/>
          <c:tx>
            <c:v>Euparkeria FDL</c:v>
          </c:tx>
          <c:spPr>
            <a:ln w="4762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Saurian_muscle_architecture!$K$534</c:f>
              <c:numCache>
                <c:formatCode>General</c:formatCode>
                <c:ptCount val="1"/>
                <c:pt idx="0">
                  <c:v>1.1116284364668027E-3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14C-F342-B856-7BD976F13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1645512"/>
        <c:axId val="-2021638936"/>
      </c:scatterChart>
      <c:valAx>
        <c:axId val="-2021645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000" b="1" i="0" baseline="0">
                    <a:effectLst/>
                  </a:rPr>
                  <a:t>L</a:t>
                </a:r>
                <a:r>
                  <a:rPr lang="de-DE" sz="1000" b="1" i="0" baseline="-25000">
                    <a:effectLst/>
                  </a:rPr>
                  <a:t>o</a:t>
                </a:r>
                <a:r>
                  <a:rPr lang="de-DE" sz="1000" b="1" i="0" baseline="0">
                    <a:effectLst/>
                  </a:rPr>
                  <a:t>/M</a:t>
                </a:r>
                <a:r>
                  <a:rPr lang="de-DE" sz="1000" b="1" i="0" baseline="-25000">
                    <a:effectLst/>
                  </a:rPr>
                  <a:t>body</a:t>
                </a:r>
                <a:r>
                  <a:rPr lang="de-DE" sz="1000" b="1" i="0" baseline="30000">
                    <a:effectLst/>
                  </a:rPr>
                  <a:t>0.33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21638936"/>
        <c:crosses val="autoZero"/>
        <c:crossBetween val="midCat"/>
      </c:valAx>
      <c:valAx>
        <c:axId val="-2021638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1000" b="1" i="0" baseline="0">
                    <a:effectLst/>
                  </a:rPr>
                  <a:t>M</a:t>
                </a:r>
                <a:r>
                  <a:rPr lang="de-DE" sz="1000" b="1" i="0" baseline="-25000">
                    <a:effectLst/>
                  </a:rPr>
                  <a:t>muscle</a:t>
                </a:r>
                <a:r>
                  <a:rPr lang="de-DE" sz="1000" b="1" i="0" baseline="0">
                    <a:effectLst/>
                  </a:rPr>
                  <a:t>*cos(θ)/M</a:t>
                </a:r>
                <a:r>
                  <a:rPr lang="de-DE" sz="1000" b="1" i="0" baseline="-25000">
                    <a:effectLst/>
                  </a:rPr>
                  <a:t>body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216455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CFL</c:v>
          </c:tx>
          <c:spPr>
            <a:ln w="47625">
              <a:noFill/>
            </a:ln>
          </c:spPr>
          <c:xVal>
            <c:numRef>
              <c:f>Saurian_muscle_architecture!$M$393:$M$399</c:f>
              <c:numCache>
                <c:formatCode>General</c:formatCode>
                <c:ptCount val="7"/>
                <c:pt idx="0">
                  <c:v>7.4770629495212432E-2</c:v>
                </c:pt>
                <c:pt idx="1">
                  <c:v>4.4043315085781229E-2</c:v>
                </c:pt>
                <c:pt idx="2">
                  <c:v>3.8683455221006871E-2</c:v>
                </c:pt>
                <c:pt idx="3">
                  <c:v>5.4011994417289662E-2</c:v>
                </c:pt>
                <c:pt idx="4">
                  <c:v>3.7469375868100729E-2</c:v>
                </c:pt>
                <c:pt idx="5">
                  <c:v>1.8865129238978741E-2</c:v>
                </c:pt>
                <c:pt idx="6">
                  <c:v>0.10084744199940716</c:v>
                </c:pt>
              </c:numCache>
            </c:numRef>
          </c:xVal>
          <c:yVal>
            <c:numRef>
              <c:f>Saurian_muscle_architecture!$K$393:$K$399</c:f>
              <c:numCache>
                <c:formatCode>General</c:formatCode>
                <c:ptCount val="7"/>
                <c:pt idx="0">
                  <c:v>1.8636842105263157E-2</c:v>
                </c:pt>
                <c:pt idx="1">
                  <c:v>7.8766013409427692E-3</c:v>
                </c:pt>
                <c:pt idx="2">
                  <c:v>1.5658703066533299E-2</c:v>
                </c:pt>
                <c:pt idx="3">
                  <c:v>9.7449520994422906E-3</c:v>
                </c:pt>
                <c:pt idx="4">
                  <c:v>7.7746237262817618E-3</c:v>
                </c:pt>
                <c:pt idx="5">
                  <c:v>1.2024581540416034E-2</c:v>
                </c:pt>
                <c:pt idx="6">
                  <c:v>1.6671567567567568E-2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47-2842-9791-9EA346CFB5C7}"/>
            </c:ext>
          </c:extLst>
        </c:ser>
        <c:ser>
          <c:idx val="3"/>
          <c:order val="1"/>
          <c:tx>
            <c:v>Varanus CFEML</c:v>
          </c:tx>
          <c:spPr>
            <a:ln w="47625">
              <a:noFill/>
            </a:ln>
          </c:spPr>
          <c:xVal>
            <c:numRef>
              <c:f>Saurian_muscle_architecture!$M$400:$M$408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6.0119999999999986E-2</c:v>
                </c:pt>
                <c:pt idx="4">
                  <c:v>3.1859999999999999E-2</c:v>
                </c:pt>
                <c:pt idx="5">
                  <c:v>4.4730000000000006E-2</c:v>
                </c:pt>
                <c:pt idx="6">
                  <c:v>5.4389999999999994E-2</c:v>
                </c:pt>
                <c:pt idx="7">
                  <c:v>5.1900000000000002E-2</c:v>
                </c:pt>
                <c:pt idx="8">
                  <c:v>3.7129999999999996E-2</c:v>
                </c:pt>
              </c:numCache>
            </c:numRef>
          </c:xVal>
          <c:yVal>
            <c:numRef>
              <c:f>Saurian_muscle_architecture!$K$400:$K$408</c:f>
              <c:numCache>
                <c:formatCode>General</c:formatCode>
                <c:ptCount val="9"/>
                <c:pt idx="0">
                  <c:v>1.0009999999999998E-2</c:v>
                </c:pt>
                <c:pt idx="1">
                  <c:v>8.2799999999999992E-3</c:v>
                </c:pt>
                <c:pt idx="2">
                  <c:v>9.4600000000000014E-3</c:v>
                </c:pt>
                <c:pt idx="3">
                  <c:v>2.0323569820110219E-2</c:v>
                </c:pt>
                <c:pt idx="4">
                  <c:v>1.0523557385013552E-2</c:v>
                </c:pt>
                <c:pt idx="5">
                  <c:v>1.605080921027046E-2</c:v>
                </c:pt>
                <c:pt idx="6">
                  <c:v>1.1081392346284063E-2</c:v>
                </c:pt>
                <c:pt idx="7">
                  <c:v>2.7208810755911979E-2</c:v>
                </c:pt>
                <c:pt idx="8">
                  <c:v>1.0925758854976188E-2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47-2842-9791-9EA346CFB5C7}"/>
            </c:ext>
          </c:extLst>
        </c:ser>
        <c:ser>
          <c:idx val="2"/>
          <c:order val="2"/>
          <c:tx>
            <c:v>Geckos CFL</c:v>
          </c:tx>
          <c:spPr>
            <a:ln w="47625">
              <a:noFill/>
            </a:ln>
          </c:spPr>
          <c:xVal>
            <c:numRef>
              <c:f>Saurian_muscle_architecture!$M$409:$M$412</c:f>
              <c:numCache>
                <c:formatCode>General</c:formatCode>
                <c:ptCount val="4"/>
                <c:pt idx="0">
                  <c:v>1.9390394128042266E-2</c:v>
                </c:pt>
                <c:pt idx="1">
                  <c:v>2.1161971132211244E-2</c:v>
                </c:pt>
                <c:pt idx="2">
                  <c:v>1.7599097369336923E-2</c:v>
                </c:pt>
                <c:pt idx="3">
                  <c:v>2.1476300969715978E-2</c:v>
                </c:pt>
              </c:numCache>
            </c:numRef>
          </c:xVal>
          <c:yVal>
            <c:numRef>
              <c:f>Saurian_muscle_architecture!$K$409:$K$412</c:f>
              <c:numCache>
                <c:formatCode>General</c:formatCode>
                <c:ptCount val="4"/>
                <c:pt idx="0">
                  <c:v>5.3919851653445967E-3</c:v>
                </c:pt>
                <c:pt idx="1">
                  <c:v>6.3039454456892347E-3</c:v>
                </c:pt>
                <c:pt idx="2">
                  <c:v>1.7491228070175438E-3</c:v>
                </c:pt>
                <c:pt idx="3">
                  <c:v>1.7388781431334622E-3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347-2842-9791-9EA346CFB5C7}"/>
            </c:ext>
          </c:extLst>
        </c:ser>
        <c:ser>
          <c:idx val="1"/>
          <c:order val="3"/>
          <c:tx>
            <c:v>Euparkeria CFL</c:v>
          </c:tx>
          <c:spPr>
            <a:ln w="4762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Saurian_muscle_architecture!$K$413</c:f>
              <c:numCache>
                <c:formatCode>General</c:formatCode>
                <c:ptCount val="1"/>
                <c:pt idx="0">
                  <c:v>2.5335381099855555E-2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347-2842-9791-9EA346CFB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8586776"/>
        <c:axId val="-2020701032"/>
      </c:scatterChart>
      <c:valAx>
        <c:axId val="-2098586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L</a:t>
                </a:r>
                <a:r>
                  <a:rPr lang="de-DE" sz="1000" b="1" i="0" baseline="-25000">
                    <a:effectLst/>
                  </a:rPr>
                  <a:t>o</a:t>
                </a:r>
                <a:r>
                  <a:rPr lang="de-DE" sz="1000" b="1" i="0" baseline="0">
                    <a:effectLst/>
                  </a:rPr>
                  <a:t>/M</a:t>
                </a:r>
                <a:r>
                  <a:rPr lang="de-DE" sz="1000" b="1" i="0" baseline="-25000">
                    <a:effectLst/>
                  </a:rPr>
                  <a:t>body</a:t>
                </a:r>
                <a:r>
                  <a:rPr lang="de-DE" sz="1000" b="1" i="0" baseline="30000">
                    <a:effectLst/>
                  </a:rPr>
                  <a:t>0.33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20701032"/>
        <c:crosses val="autoZero"/>
        <c:crossBetween val="midCat"/>
      </c:valAx>
      <c:valAx>
        <c:axId val="-2020701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M</a:t>
                </a:r>
                <a:r>
                  <a:rPr lang="de-DE" sz="1000" b="1" i="0" baseline="-25000">
                    <a:effectLst/>
                  </a:rPr>
                  <a:t>muscle</a:t>
                </a:r>
                <a:r>
                  <a:rPr lang="de-DE" sz="1000" b="1" i="0" baseline="0">
                    <a:effectLst/>
                  </a:rPr>
                  <a:t>*cos(θ)/M</a:t>
                </a:r>
                <a:r>
                  <a:rPr lang="de-DE" sz="1000" b="1" i="0" baseline="-25000">
                    <a:effectLst/>
                  </a:rPr>
                  <a:t>body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985867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CFB</c:v>
          </c:tx>
          <c:spPr>
            <a:ln w="47625">
              <a:noFill/>
            </a:ln>
          </c:spPr>
          <c:xVal>
            <c:numRef>
              <c:f>Saurian_muscle_architecture!$M$416:$M$422</c:f>
              <c:numCache>
                <c:formatCode>General</c:formatCode>
                <c:ptCount val="7"/>
                <c:pt idx="0">
                  <c:v>2.5175865838847733E-2</c:v>
                </c:pt>
                <c:pt idx="1">
                  <c:v>2.0348738310284865E-2</c:v>
                </c:pt>
                <c:pt idx="2">
                  <c:v>4.7480467277240855E-3</c:v>
                </c:pt>
                <c:pt idx="3">
                  <c:v>3.3418093993682701E-3</c:v>
                </c:pt>
                <c:pt idx="4">
                  <c:v>8.2744871708722439E-3</c:v>
                </c:pt>
                <c:pt idx="5">
                  <c:v>3.2733548571417165E-2</c:v>
                </c:pt>
                <c:pt idx="6">
                  <c:v>3.0033446184627055E-2</c:v>
                </c:pt>
              </c:numCache>
            </c:numRef>
          </c:xVal>
          <c:yVal>
            <c:numRef>
              <c:f>Saurian_muscle_architecture!$K$416:$K$422</c:f>
              <c:numCache>
                <c:formatCode>General</c:formatCode>
                <c:ptCount val="7"/>
                <c:pt idx="0">
                  <c:v>1.3046783625730992E-3</c:v>
                </c:pt>
                <c:pt idx="1">
                  <c:v>8.4892807233772813E-4</c:v>
                </c:pt>
                <c:pt idx="2">
                  <c:v>1.1331366202739965E-3</c:v>
                </c:pt>
                <c:pt idx="3">
                  <c:v>9.3646209386281595E-4</c:v>
                </c:pt>
                <c:pt idx="4">
                  <c:v>2.171226568943917E-4</c:v>
                </c:pt>
                <c:pt idx="5">
                  <c:v>1.5461038961038962E-3</c:v>
                </c:pt>
                <c:pt idx="6">
                  <c:v>1.0777567567567567E-3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CE-0F4A-9266-76A835A0B1C2}"/>
            </c:ext>
          </c:extLst>
        </c:ser>
        <c:ser>
          <c:idx val="3"/>
          <c:order val="1"/>
          <c:tx>
            <c:v>Varanus CFEMB</c:v>
          </c:tx>
          <c:spPr>
            <a:ln w="47625">
              <a:noFill/>
            </a:ln>
          </c:spPr>
          <c:xVal>
            <c:numRef>
              <c:f>Saurian_muscle_architecture!$M$423:$M$426</c:f>
              <c:numCache>
                <c:formatCode>General</c:formatCode>
                <c:ptCount val="4"/>
                <c:pt idx="0">
                  <c:v>2.8809999999999999E-2</c:v>
                </c:pt>
                <c:pt idx="1">
                  <c:v>2.2210000000000001E-2</c:v>
                </c:pt>
                <c:pt idx="2">
                  <c:v>2.0799999999999999E-2</c:v>
                </c:pt>
                <c:pt idx="3">
                  <c:v>2.4640000000000002E-2</c:v>
                </c:pt>
              </c:numCache>
            </c:numRef>
          </c:xVal>
          <c:yVal>
            <c:numRef>
              <c:f>Saurian_muscle_architecture!$K$423:$K$426</c:f>
              <c:numCache>
                <c:formatCode>General</c:formatCode>
                <c:ptCount val="4"/>
                <c:pt idx="0">
                  <c:v>1.8100000000000002E-3</c:v>
                </c:pt>
                <c:pt idx="1">
                  <c:v>2.4700000000000004E-3</c:v>
                </c:pt>
                <c:pt idx="2">
                  <c:v>1.47E-3</c:v>
                </c:pt>
                <c:pt idx="3">
                  <c:v>3.8499999999999997E-3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CE-0F4A-9266-76A835A0B1C2}"/>
            </c:ext>
          </c:extLst>
        </c:ser>
        <c:ser>
          <c:idx val="2"/>
          <c:order val="2"/>
          <c:tx>
            <c:v>Geckos CFB</c:v>
          </c:tx>
          <c:spPr>
            <a:ln w="47625">
              <a:noFill/>
            </a:ln>
          </c:spPr>
          <c:xVal>
            <c:numRef>
              <c:f>Saurian_muscle_architecture!$M$427:$M$430</c:f>
              <c:numCache>
                <c:formatCode>General</c:formatCode>
                <c:ptCount val="4"/>
                <c:pt idx="0">
                  <c:v>1.0756368282586191E-2</c:v>
                </c:pt>
                <c:pt idx="1">
                  <c:v>1.3976566270613075E-2</c:v>
                </c:pt>
                <c:pt idx="2">
                  <c:v>1.0076113805345722E-2</c:v>
                </c:pt>
                <c:pt idx="3">
                  <c:v>1.2149526204526204E-2</c:v>
                </c:pt>
              </c:numCache>
            </c:numRef>
          </c:xVal>
          <c:yVal>
            <c:numRef>
              <c:f>Saurian_muscle_architecture!$K$482:$K$485</c:f>
              <c:numCache>
                <c:formatCode>General</c:formatCode>
                <c:ptCount val="4"/>
                <c:pt idx="0">
                  <c:v>8.5496602577051829E-4</c:v>
                </c:pt>
                <c:pt idx="1">
                  <c:v>8.757480236657642E-4</c:v>
                </c:pt>
                <c:pt idx="2">
                  <c:v>2.3974775676961329E-4</c:v>
                </c:pt>
                <c:pt idx="3">
                  <c:v>3.9518016140864163E-4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4CE-0F4A-9266-76A835A0B1C2}"/>
            </c:ext>
          </c:extLst>
        </c:ser>
        <c:ser>
          <c:idx val="1"/>
          <c:order val="3"/>
          <c:tx>
            <c:v>Euparkeria CFB</c:v>
          </c:tx>
          <c:spPr>
            <a:ln w="4762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Saurian_muscle_architecture!$K$431</c:f>
              <c:numCache>
                <c:formatCode>General</c:formatCode>
                <c:ptCount val="1"/>
                <c:pt idx="0">
                  <c:v>4.3234436031169485E-3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4CE-0F4A-9266-76A835A0B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7752872"/>
        <c:axId val="-2017714344"/>
      </c:scatterChart>
      <c:valAx>
        <c:axId val="-2017752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L</a:t>
                </a:r>
                <a:r>
                  <a:rPr lang="de-DE" sz="1000" b="1" i="0" baseline="-25000">
                    <a:effectLst/>
                  </a:rPr>
                  <a:t>o</a:t>
                </a:r>
                <a:r>
                  <a:rPr lang="de-DE" sz="1000" b="1" i="0" baseline="0">
                    <a:effectLst/>
                  </a:rPr>
                  <a:t>/M</a:t>
                </a:r>
                <a:r>
                  <a:rPr lang="de-DE" sz="1000" b="1" i="0" baseline="-25000">
                    <a:effectLst/>
                  </a:rPr>
                  <a:t>body</a:t>
                </a:r>
                <a:r>
                  <a:rPr lang="de-DE" sz="1000" b="1" i="0" baseline="30000">
                    <a:effectLst/>
                  </a:rPr>
                  <a:t>0.33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17714344"/>
        <c:crosses val="autoZero"/>
        <c:crossBetween val="midCat"/>
      </c:valAx>
      <c:valAx>
        <c:axId val="-2017714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1000" b="1" i="0" baseline="0">
                    <a:effectLst/>
                  </a:rPr>
                  <a:t>M</a:t>
                </a:r>
                <a:r>
                  <a:rPr lang="de-DE" sz="1000" b="1" i="0" baseline="-25000">
                    <a:effectLst/>
                  </a:rPr>
                  <a:t>muscle</a:t>
                </a:r>
                <a:r>
                  <a:rPr lang="de-DE" sz="1000" b="1" i="0" baseline="0">
                    <a:effectLst/>
                  </a:rPr>
                  <a:t>*cos(θ)/M</a:t>
                </a:r>
                <a:r>
                  <a:rPr lang="de-DE" sz="1000" b="1" i="0" baseline="-25000">
                    <a:effectLst/>
                  </a:rPr>
                  <a:t>body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177528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PIT</c:v>
          </c:tx>
          <c:spPr>
            <a:ln w="47625">
              <a:noFill/>
            </a:ln>
          </c:spPr>
          <c:yVal>
            <c:numRef>
              <c:f>Saurian_muscle_architecture!$K$271:$K$277</c:f>
              <c:numCache>
                <c:formatCode>General</c:formatCode>
                <c:ptCount val="7"/>
                <c:pt idx="0">
                  <c:v>5.5074718165604771E-4</c:v>
                </c:pt>
                <c:pt idx="1">
                  <c:v>6.1716923127394508E-4</c:v>
                </c:pt>
                <c:pt idx="2">
                  <c:v>4.3585933630510153E-4</c:v>
                </c:pt>
                <c:pt idx="3">
                  <c:v>4.9530685920577612E-4</c:v>
                </c:pt>
                <c:pt idx="4">
                  <c:v>4.5201967368474006E-4</c:v>
                </c:pt>
                <c:pt idx="5">
                  <c:v>6.8363636363636369E-4</c:v>
                </c:pt>
                <c:pt idx="6">
                  <c:v>4.2904027554500755E-4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44-8B49-8E3D-2E7F01CFA6C7}"/>
            </c:ext>
          </c:extLst>
        </c:ser>
        <c:ser>
          <c:idx val="3"/>
          <c:order val="1"/>
          <c:tx>
            <c:v>Varanus PIT</c:v>
          </c:tx>
          <c:spPr>
            <a:ln w="47625">
              <a:noFill/>
            </a:ln>
          </c:spPr>
          <c:yVal>
            <c:numRef>
              <c:f>Saurian_muscle_architecture!$K$278:$K$286</c:f>
              <c:numCache>
                <c:formatCode>General</c:formatCode>
                <c:ptCount val="9"/>
                <c:pt idx="0">
                  <c:v>1.1100000000000001E-3</c:v>
                </c:pt>
                <c:pt idx="1">
                  <c:v>2.2800000000000003E-3</c:v>
                </c:pt>
                <c:pt idx="2">
                  <c:v>3.2500000000000003E-3</c:v>
                </c:pt>
                <c:pt idx="3">
                  <c:v>2.63E-3</c:v>
                </c:pt>
                <c:pt idx="4">
                  <c:v>5.4099999999999999E-3</c:v>
                </c:pt>
                <c:pt idx="5">
                  <c:v>3.7799999999999995E-3</c:v>
                </c:pt>
                <c:pt idx="6">
                  <c:v>2.49E-3</c:v>
                </c:pt>
                <c:pt idx="7">
                  <c:v>4.5700000000000003E-3</c:v>
                </c:pt>
                <c:pt idx="8">
                  <c:v>4.7099999999999998E-3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44-8B49-8E3D-2E7F01CFA6C7}"/>
            </c:ext>
          </c:extLst>
        </c:ser>
        <c:ser>
          <c:idx val="2"/>
          <c:order val="2"/>
          <c:tx>
            <c:v>Geckos PIT</c:v>
          </c:tx>
          <c:spPr>
            <a:ln w="47625">
              <a:noFill/>
            </a:ln>
          </c:spPr>
          <c:yVal>
            <c:numRef>
              <c:f>Saurian_muscle_architecture!$K$287:$K$290</c:f>
              <c:numCache>
                <c:formatCode>General</c:formatCode>
                <c:ptCount val="4"/>
                <c:pt idx="0">
                  <c:v>3.8185209836785403E-3</c:v>
                </c:pt>
                <c:pt idx="1">
                  <c:v>5.3826599321245162E-3</c:v>
                </c:pt>
                <c:pt idx="2">
                  <c:v>1.7760452598595403E-3</c:v>
                </c:pt>
                <c:pt idx="3">
                  <c:v>2.2120037127590919E-3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F44-8B49-8E3D-2E7F01CFA6C7}"/>
            </c:ext>
          </c:extLst>
        </c:ser>
        <c:ser>
          <c:idx val="1"/>
          <c:order val="3"/>
          <c:tx>
            <c:v>Euparkeria PIT</c:v>
          </c:tx>
          <c:spPr>
            <a:ln w="47625">
              <a:noFill/>
            </a:ln>
          </c:spPr>
          <c:yVal>
            <c:numRef>
              <c:f>Saurian_muscle_architecture!$K$291</c:f>
              <c:numCache>
                <c:formatCode>General</c:formatCode>
                <c:ptCount val="1"/>
                <c:pt idx="0">
                  <c:v>2.0763378248336135E-3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F44-8B49-8E3D-2E7F01CFA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1305416"/>
        <c:axId val="-2021553704"/>
      </c:scatterChart>
      <c:valAx>
        <c:axId val="-2021305416"/>
        <c:scaling>
          <c:orientation val="minMax"/>
        </c:scaling>
        <c:delete val="0"/>
        <c:axPos val="b"/>
        <c:majorTickMark val="out"/>
        <c:minorTickMark val="none"/>
        <c:tickLblPos val="nextTo"/>
        <c:crossAx val="-2021553704"/>
        <c:crosses val="autoZero"/>
        <c:crossBetween val="midCat"/>
      </c:valAx>
      <c:valAx>
        <c:axId val="-2021553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213054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FTI 3</c:v>
          </c:tx>
          <c:spPr>
            <a:ln w="47625">
              <a:noFill/>
            </a:ln>
          </c:spPr>
          <c:xVal>
            <c:numRef>
              <c:f>Saurian_muscle_architecture!$M$375:$M$381</c:f>
              <c:numCache>
                <c:formatCode>General</c:formatCode>
                <c:ptCount val="7"/>
                <c:pt idx="0">
                  <c:v>2.365747704311956E-2</c:v>
                </c:pt>
                <c:pt idx="1">
                  <c:v>1.096340186513307E-2</c:v>
                </c:pt>
                <c:pt idx="2">
                  <c:v>3.73834491578151E-2</c:v>
                </c:pt>
                <c:pt idx="3">
                  <c:v>3.8430808092735108E-2</c:v>
                </c:pt>
                <c:pt idx="4">
                  <c:v>2.3418359917562952E-2</c:v>
                </c:pt>
                <c:pt idx="5">
                  <c:v>6.9924804813599134E-3</c:v>
                </c:pt>
                <c:pt idx="6">
                  <c:v>2.578200894850266E-2</c:v>
                </c:pt>
              </c:numCache>
            </c:numRef>
          </c:xVal>
          <c:yVal>
            <c:numRef>
              <c:f>Saurian_muscle_architecture!$K$375:$K$381</c:f>
              <c:numCache>
                <c:formatCode>General</c:formatCode>
                <c:ptCount val="7"/>
                <c:pt idx="0">
                  <c:v>6.2484148694126975E-4</c:v>
                </c:pt>
                <c:pt idx="1">
                  <c:v>4.4108137527708172E-4</c:v>
                </c:pt>
                <c:pt idx="2">
                  <c:v>7.429420505200594E-4</c:v>
                </c:pt>
                <c:pt idx="3">
                  <c:v>1.075812274368231E-4</c:v>
                </c:pt>
                <c:pt idx="4">
                  <c:v>3.3309352517985611E-4</c:v>
                </c:pt>
                <c:pt idx="5">
                  <c:v>6.4494756483038569E-4</c:v>
                </c:pt>
                <c:pt idx="6">
                  <c:v>3.7856955790562419E-4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30-934C-BF87-99ADEB836144}"/>
            </c:ext>
          </c:extLst>
        </c:ser>
        <c:ser>
          <c:idx val="3"/>
          <c:order val="1"/>
          <c:tx>
            <c:v>Varanus FTI (D)</c:v>
          </c:tx>
          <c:spPr>
            <a:ln w="47625">
              <a:noFill/>
            </a:ln>
          </c:spPr>
          <c:xVal>
            <c:numRef>
              <c:f>Saurian_muscle_architecture!$M$382:$M$387</c:f>
              <c:numCache>
                <c:formatCode>General</c:formatCode>
                <c:ptCount val="6"/>
                <c:pt idx="0">
                  <c:v>4.9970000000000001E-2</c:v>
                </c:pt>
                <c:pt idx="1">
                  <c:v>3.9739999999999998E-2</c:v>
                </c:pt>
                <c:pt idx="2">
                  <c:v>5.2409999999999998E-2</c:v>
                </c:pt>
                <c:pt idx="3">
                  <c:v>4.0740000000000005E-2</c:v>
                </c:pt>
                <c:pt idx="4">
                  <c:v>4.3310000000000008E-2</c:v>
                </c:pt>
                <c:pt idx="5">
                  <c:v>5.0069999999999996E-2</c:v>
                </c:pt>
              </c:numCache>
            </c:numRef>
          </c:xVal>
          <c:yVal>
            <c:numRef>
              <c:f>Saurian_muscle_architecture!$K$382:$K$387</c:f>
              <c:numCache>
                <c:formatCode>0.000000</c:formatCode>
                <c:ptCount val="6"/>
                <c:pt idx="0">
                  <c:v>8.299609204992386E-4</c:v>
                </c:pt>
                <c:pt idx="1">
                  <c:v>6.799795827418868E-4</c:v>
                </c:pt>
                <c:pt idx="2">
                  <c:v>1.0799675725900553E-3</c:v>
                </c:pt>
                <c:pt idx="3">
                  <c:v>1.0099829417938803E-3</c:v>
                </c:pt>
                <c:pt idx="4">
                  <c:v>1.0499980295752209E-3</c:v>
                </c:pt>
                <c:pt idx="5">
                  <c:v>1.3699869585874062E-3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30-934C-BF87-99ADEB836144}"/>
            </c:ext>
          </c:extLst>
        </c:ser>
        <c:ser>
          <c:idx val="2"/>
          <c:order val="2"/>
          <c:tx>
            <c:v>Geckos FTIP</c:v>
          </c:tx>
          <c:spPr>
            <a:ln w="47625">
              <a:noFill/>
            </a:ln>
          </c:spPr>
          <c:xVal>
            <c:numRef>
              <c:f>Saurian_muscle_architecture!$M$388:$M$389</c:f>
              <c:numCache>
                <c:formatCode>General</c:formatCode>
                <c:ptCount val="2"/>
                <c:pt idx="0">
                  <c:v>2.0292875449222723E-2</c:v>
                </c:pt>
                <c:pt idx="1">
                  <c:v>1.8213623591655771E-2</c:v>
                </c:pt>
              </c:numCache>
            </c:numRef>
          </c:xVal>
          <c:yVal>
            <c:numRef>
              <c:f>Saurian_muscle_architecture!$K$388:$K$389</c:f>
              <c:numCache>
                <c:formatCode>General</c:formatCode>
                <c:ptCount val="2"/>
                <c:pt idx="0">
                  <c:v>4.7222415721657161E-4</c:v>
                </c:pt>
                <c:pt idx="1">
                  <c:v>7.7137361110573449E-4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530-934C-BF87-99ADEB836144}"/>
            </c:ext>
          </c:extLst>
        </c:ser>
        <c:ser>
          <c:idx val="1"/>
          <c:order val="3"/>
          <c:tx>
            <c:v>Euparkeria FTI3</c:v>
          </c:tx>
          <c:spPr>
            <a:ln w="4762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Saurian_muscle_architecture!$K$390</c:f>
              <c:numCache>
                <c:formatCode>General</c:formatCode>
                <c:ptCount val="1"/>
                <c:pt idx="0">
                  <c:v>1.4547650534317618E-3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530-934C-BF87-99ADEB836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7723480"/>
        <c:axId val="-2117141576"/>
      </c:scatterChart>
      <c:valAx>
        <c:axId val="-2017723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L</a:t>
                </a:r>
                <a:r>
                  <a:rPr lang="de-DE" sz="1000" b="1" i="0" baseline="-25000">
                    <a:effectLst/>
                  </a:rPr>
                  <a:t>o</a:t>
                </a:r>
                <a:r>
                  <a:rPr lang="de-DE" sz="1000" b="1" i="0" baseline="0">
                    <a:effectLst/>
                  </a:rPr>
                  <a:t>/M</a:t>
                </a:r>
                <a:r>
                  <a:rPr lang="de-DE" sz="1000" b="1" i="0" baseline="-25000">
                    <a:effectLst/>
                  </a:rPr>
                  <a:t>body</a:t>
                </a:r>
                <a:r>
                  <a:rPr lang="de-DE" sz="1000" b="1" i="0" baseline="30000">
                    <a:effectLst/>
                  </a:rPr>
                  <a:t>0.33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17141576"/>
        <c:crosses val="autoZero"/>
        <c:crossBetween val="midCat"/>
      </c:valAx>
      <c:valAx>
        <c:axId val="-2117141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M</a:t>
                </a:r>
                <a:r>
                  <a:rPr lang="de-DE" sz="1000" b="1" i="0" baseline="-25000">
                    <a:effectLst/>
                  </a:rPr>
                  <a:t>muscle</a:t>
                </a:r>
                <a:r>
                  <a:rPr lang="de-DE" sz="1000" b="1" i="0" baseline="0">
                    <a:effectLst/>
                  </a:rPr>
                  <a:t>*cos(θ)/M</a:t>
                </a:r>
                <a:r>
                  <a:rPr lang="de-DE" sz="1000" b="1" i="0" baseline="-25000">
                    <a:effectLst/>
                  </a:rPr>
                  <a:t>body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177234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FTE</c:v>
          </c:tx>
          <c:spPr>
            <a:ln w="47625">
              <a:noFill/>
            </a:ln>
          </c:spPr>
          <c:xVal>
            <c:numRef>
              <c:f>Saurian_muscle_architecture!$M$317:$M$323</c:f>
              <c:numCache>
                <c:formatCode>General</c:formatCode>
                <c:ptCount val="7"/>
                <c:pt idx="0">
                  <c:v>4.0702615782261607E-2</c:v>
                </c:pt>
                <c:pt idx="1">
                  <c:v>2.2781094784692098E-2</c:v>
                </c:pt>
                <c:pt idx="2">
                  <c:v>3.9119453742639219E-2</c:v>
                </c:pt>
                <c:pt idx="3">
                  <c:v>5.0996011434359799E-2</c:v>
                </c:pt>
                <c:pt idx="4">
                  <c:v>3.2161214286786456E-2</c:v>
                </c:pt>
                <c:pt idx="5">
                  <c:v>3.7730258477957482E-2</c:v>
                </c:pt>
                <c:pt idx="6">
                  <c:v>4.8743796128792663E-2</c:v>
                </c:pt>
              </c:numCache>
            </c:numRef>
          </c:xVal>
          <c:yVal>
            <c:numRef>
              <c:f>Saurian_muscle_architecture!$K$317:$K$323</c:f>
              <c:numCache>
                <c:formatCode>General</c:formatCode>
                <c:ptCount val="7"/>
                <c:pt idx="0">
                  <c:v>2.2023391812865493E-3</c:v>
                </c:pt>
                <c:pt idx="1">
                  <c:v>1.5233333333333334E-3</c:v>
                </c:pt>
                <c:pt idx="2">
                  <c:v>1.9712729073798909E-3</c:v>
                </c:pt>
                <c:pt idx="3">
                  <c:v>1.5028880866425993E-3</c:v>
                </c:pt>
                <c:pt idx="4">
                  <c:v>1.0784172661870504E-3</c:v>
                </c:pt>
                <c:pt idx="5">
                  <c:v>1.4561645443588967E-3</c:v>
                </c:pt>
                <c:pt idx="6">
                  <c:v>1.6054864864864864E-3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AE-494E-BF2F-F852F620B774}"/>
            </c:ext>
          </c:extLst>
        </c:ser>
        <c:ser>
          <c:idx val="3"/>
          <c:order val="1"/>
          <c:tx>
            <c:v>Varanus FTE</c:v>
          </c:tx>
          <c:spPr>
            <a:ln w="47625">
              <a:noFill/>
            </a:ln>
          </c:spPr>
          <c:xVal>
            <c:numRef>
              <c:f>Saurian_muscle_architecture!$M$324:$M$329</c:f>
              <c:numCache>
                <c:formatCode>General</c:formatCode>
                <c:ptCount val="6"/>
                <c:pt idx="0">
                  <c:v>0</c:v>
                </c:pt>
                <c:pt idx="1">
                  <c:v>4.4230000000000005E-2</c:v>
                </c:pt>
                <c:pt idx="2">
                  <c:v>4.4889999999999999E-2</c:v>
                </c:pt>
                <c:pt idx="3">
                  <c:v>0</c:v>
                </c:pt>
                <c:pt idx="4">
                  <c:v>4.1929999999999995E-2</c:v>
                </c:pt>
                <c:pt idx="5">
                  <c:v>4.181E-2</c:v>
                </c:pt>
              </c:numCache>
            </c:numRef>
          </c:xVal>
          <c:yVal>
            <c:numRef>
              <c:f>Saurian_muscle_architecture!$K$324:$K$329</c:f>
              <c:numCache>
                <c:formatCode>0.000000</c:formatCode>
                <c:ptCount val="6"/>
                <c:pt idx="0">
                  <c:v>1.72E-3</c:v>
                </c:pt>
                <c:pt idx="1">
                  <c:v>2.6000000000000003E-3</c:v>
                </c:pt>
                <c:pt idx="2">
                  <c:v>2.4299999999999994E-3</c:v>
                </c:pt>
                <c:pt idx="3">
                  <c:v>2.8100000000000004E-3</c:v>
                </c:pt>
                <c:pt idx="4">
                  <c:v>1.98E-3</c:v>
                </c:pt>
                <c:pt idx="5">
                  <c:v>2.49E-3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AE-494E-BF2F-F852F620B774}"/>
            </c:ext>
          </c:extLst>
        </c:ser>
        <c:ser>
          <c:idx val="2"/>
          <c:order val="2"/>
          <c:tx>
            <c:v>Gecko FTE P</c:v>
          </c:tx>
          <c:spPr>
            <a:ln w="47625">
              <a:noFill/>
            </a:ln>
          </c:spPr>
          <c:xVal>
            <c:numRef>
              <c:f>Saurian_muscle_architecture!$M$330:$M$333</c:f>
              <c:numCache>
                <c:formatCode>General</c:formatCode>
                <c:ptCount val="4"/>
                <c:pt idx="0">
                  <c:v>2.659944946637131E-2</c:v>
                </c:pt>
                <c:pt idx="1">
                  <c:v>4.2815686785924185E-2</c:v>
                </c:pt>
                <c:pt idx="2">
                  <c:v>2.75516726146171E-2</c:v>
                </c:pt>
                <c:pt idx="3">
                  <c:v>2.8570390980628343E-2</c:v>
                </c:pt>
              </c:numCache>
            </c:numRef>
          </c:xVal>
          <c:yVal>
            <c:numRef>
              <c:f>Saurian_muscle_architecture!$K$330:$K$333</c:f>
              <c:numCache>
                <c:formatCode>General</c:formatCode>
                <c:ptCount val="4"/>
                <c:pt idx="0">
                  <c:v>2.4858349644586381E-3</c:v>
                </c:pt>
                <c:pt idx="1">
                  <c:v>3.9756453969800295E-3</c:v>
                </c:pt>
                <c:pt idx="2">
                  <c:v>1.143859649122807E-3</c:v>
                </c:pt>
                <c:pt idx="3">
                  <c:v>1.1642166344294003E-3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2AE-494E-BF2F-F852F620B774}"/>
            </c:ext>
          </c:extLst>
        </c:ser>
        <c:ser>
          <c:idx val="1"/>
          <c:order val="3"/>
          <c:tx>
            <c:v>Euparkeria FTE</c:v>
          </c:tx>
          <c:spPr>
            <a:ln w="4762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Saurian_muscle_architecture!$K$334</c:f>
              <c:numCache>
                <c:formatCode>General</c:formatCode>
                <c:ptCount val="1"/>
                <c:pt idx="0">
                  <c:v>3.5174318026714763E-3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2AE-494E-BF2F-F852F620B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2195112"/>
        <c:axId val="2072201688"/>
      </c:scatterChart>
      <c:valAx>
        <c:axId val="2072195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000" b="1" i="0" baseline="0">
                    <a:effectLst/>
                  </a:rPr>
                  <a:t>L</a:t>
                </a:r>
                <a:r>
                  <a:rPr lang="de-DE" sz="1000" b="1" i="0" baseline="-25000">
                    <a:effectLst/>
                  </a:rPr>
                  <a:t>o</a:t>
                </a:r>
                <a:r>
                  <a:rPr lang="de-DE" sz="1000" b="1" i="0" baseline="0">
                    <a:effectLst/>
                  </a:rPr>
                  <a:t>/M</a:t>
                </a:r>
                <a:r>
                  <a:rPr lang="de-DE" sz="1000" b="1" i="0" baseline="-25000">
                    <a:effectLst/>
                  </a:rPr>
                  <a:t>body</a:t>
                </a:r>
                <a:r>
                  <a:rPr lang="de-DE" sz="1000" b="1" i="0" baseline="30000">
                    <a:effectLst/>
                  </a:rPr>
                  <a:t>0.33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72201688"/>
        <c:crosses val="autoZero"/>
        <c:crossBetween val="midCat"/>
      </c:valAx>
      <c:valAx>
        <c:axId val="2072201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M</a:t>
                </a:r>
                <a:r>
                  <a:rPr lang="de-DE" sz="1000" b="1" i="0" baseline="-25000">
                    <a:effectLst/>
                  </a:rPr>
                  <a:t>muscle</a:t>
                </a:r>
                <a:r>
                  <a:rPr lang="de-DE" sz="1000" b="1" i="0" baseline="0">
                    <a:effectLst/>
                  </a:rPr>
                  <a:t>*cos(θ)/M</a:t>
                </a:r>
                <a:r>
                  <a:rPr lang="de-DE" sz="1000" b="1" i="0" baseline="-25000">
                    <a:effectLst/>
                  </a:rPr>
                  <a:t>body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721951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ILFB</c:v>
          </c:tx>
          <c:spPr>
            <a:ln w="47625">
              <a:noFill/>
            </a:ln>
          </c:spPr>
          <c:xVal>
            <c:numRef>
              <c:f>Saurian_muscle_architecture!$M$294:$M$300</c:f>
              <c:numCache>
                <c:formatCode>General</c:formatCode>
                <c:ptCount val="7"/>
                <c:pt idx="0">
                  <c:v>4.2554070507375308E-2</c:v>
                </c:pt>
                <c:pt idx="1">
                  <c:v>3.0534433293800373E-2</c:v>
                </c:pt>
                <c:pt idx="2">
                  <c:v>3.6233531590944425E-2</c:v>
                </c:pt>
                <c:pt idx="3">
                  <c:v>5.1463864750271357E-2</c:v>
                </c:pt>
                <c:pt idx="4">
                  <c:v>3.5283662275794853E-2</c:v>
                </c:pt>
                <c:pt idx="5">
                  <c:v>9.3815777837083468E-3</c:v>
                </c:pt>
                <c:pt idx="6">
                  <c:v>4.813988034605314E-2</c:v>
                </c:pt>
              </c:numCache>
            </c:numRef>
          </c:xVal>
          <c:yVal>
            <c:numRef>
              <c:f>Saurian_muscle_architecture!$K$294:$K$300</c:f>
              <c:numCache>
                <c:formatCode>General</c:formatCode>
                <c:ptCount val="7"/>
                <c:pt idx="0">
                  <c:v>5.2046783625730986E-4</c:v>
                </c:pt>
                <c:pt idx="1">
                  <c:v>5.0633333333333335E-4</c:v>
                </c:pt>
                <c:pt idx="2">
                  <c:v>3.3184744923229321E-4</c:v>
                </c:pt>
                <c:pt idx="3">
                  <c:v>4.7075812274368229E-4</c:v>
                </c:pt>
                <c:pt idx="4">
                  <c:v>3.143884892086331E-4</c:v>
                </c:pt>
                <c:pt idx="5">
                  <c:v>6.0519480519480523E-4</c:v>
                </c:pt>
                <c:pt idx="6">
                  <c:v>4.8735135135135135E-4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DE-574E-A1E4-63253D536060}"/>
            </c:ext>
          </c:extLst>
        </c:ser>
        <c:ser>
          <c:idx val="3"/>
          <c:order val="1"/>
          <c:tx>
            <c:v>Varanus ILFIB</c:v>
          </c:tx>
          <c:spPr>
            <a:ln w="47625">
              <a:noFill/>
            </a:ln>
          </c:spPr>
          <c:xVal>
            <c:numRef>
              <c:f>Saurian_muscle_architecture!$M$301:$M$309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4.2249999999999996E-2</c:v>
                </c:pt>
                <c:pt idx="4">
                  <c:v>3.9879999999999999E-2</c:v>
                </c:pt>
                <c:pt idx="5">
                  <c:v>4.58E-2</c:v>
                </c:pt>
                <c:pt idx="6">
                  <c:v>4.8600000000000004E-2</c:v>
                </c:pt>
                <c:pt idx="7">
                  <c:v>4.6540000000000005E-2</c:v>
                </c:pt>
                <c:pt idx="8">
                  <c:v>4.1570000000000003E-2</c:v>
                </c:pt>
              </c:numCache>
            </c:numRef>
          </c:xVal>
          <c:yVal>
            <c:numRef>
              <c:f>Saurian_muscle_architecture!$K$301:$K$309</c:f>
              <c:numCache>
                <c:formatCode>General</c:formatCode>
                <c:ptCount val="9"/>
                <c:pt idx="0">
                  <c:v>5.1999999999999995E-4</c:v>
                </c:pt>
                <c:pt idx="1">
                  <c:v>1.5E-3</c:v>
                </c:pt>
                <c:pt idx="2">
                  <c:v>7.4999999999999991E-4</c:v>
                </c:pt>
                <c:pt idx="3">
                  <c:v>1.6592972455011156E-3</c:v>
                </c:pt>
                <c:pt idx="4">
                  <c:v>2.3399824350870224E-3</c:v>
                </c:pt>
                <c:pt idx="5">
                  <c:v>4.2897560727405207E-3</c:v>
                </c:pt>
                <c:pt idx="6">
                  <c:v>1.1196969017201451E-3</c:v>
                </c:pt>
                <c:pt idx="7">
                  <c:v>1.8199453538091674E-3</c:v>
                </c:pt>
                <c:pt idx="8">
                  <c:v>1.5799733148854761E-3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FDE-574E-A1E4-63253D536060}"/>
            </c:ext>
          </c:extLst>
        </c:ser>
        <c:ser>
          <c:idx val="2"/>
          <c:order val="2"/>
          <c:tx>
            <c:v>Geckos ILFI</c:v>
          </c:tx>
          <c:spPr>
            <a:ln w="47625">
              <a:noFill/>
            </a:ln>
          </c:spPr>
          <c:xVal>
            <c:numRef>
              <c:f>Saurian_muscle_architecture!$M$310:$M$313</c:f>
              <c:numCache>
                <c:formatCode>General</c:formatCode>
                <c:ptCount val="4"/>
                <c:pt idx="0">
                  <c:v>3.6379928856197778E-2</c:v>
                </c:pt>
                <c:pt idx="1">
                  <c:v>2.7580084973190373E-2</c:v>
                </c:pt>
                <c:pt idx="2">
                  <c:v>2.3933022292697285E-2</c:v>
                </c:pt>
                <c:pt idx="3">
                  <c:v>2.7927165134753188E-2</c:v>
                </c:pt>
              </c:numCache>
            </c:numRef>
          </c:xVal>
          <c:yVal>
            <c:numRef>
              <c:f>Saurian_muscle_architecture!$K$310:$K$313</c:f>
              <c:numCache>
                <c:formatCode>General</c:formatCode>
                <c:ptCount val="4"/>
                <c:pt idx="0">
                  <c:v>1.4834655403317193E-3</c:v>
                </c:pt>
                <c:pt idx="1">
                  <c:v>1.5411592791037506E-3</c:v>
                </c:pt>
                <c:pt idx="2">
                  <c:v>5.0250810310980697E-4</c:v>
                </c:pt>
                <c:pt idx="3">
                  <c:v>5.7446808510638295E-4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FDE-574E-A1E4-63253D536060}"/>
            </c:ext>
          </c:extLst>
        </c:ser>
        <c:ser>
          <c:idx val="1"/>
          <c:order val="3"/>
          <c:tx>
            <c:v>Euparkeria ILFB</c:v>
          </c:tx>
          <c:spPr>
            <a:ln w="4762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Saurian_muscle_architecture!$K$314</c:f>
              <c:numCache>
                <c:formatCode>General</c:formatCode>
                <c:ptCount val="1"/>
                <c:pt idx="0">
                  <c:v>4.0408963175166462E-3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FDE-574E-A1E4-63253D536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7617912"/>
        <c:axId val="-2018019272"/>
      </c:scatterChart>
      <c:valAx>
        <c:axId val="-2117617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L</a:t>
                </a:r>
                <a:r>
                  <a:rPr lang="de-DE" sz="1000" b="1" i="0" baseline="-25000">
                    <a:effectLst/>
                  </a:rPr>
                  <a:t>o</a:t>
                </a:r>
                <a:r>
                  <a:rPr lang="de-DE" sz="1000" b="1" i="0" baseline="0">
                    <a:effectLst/>
                  </a:rPr>
                  <a:t>/M</a:t>
                </a:r>
                <a:r>
                  <a:rPr lang="de-DE" sz="1000" b="1" i="0" baseline="-25000">
                    <a:effectLst/>
                  </a:rPr>
                  <a:t>body</a:t>
                </a:r>
                <a:r>
                  <a:rPr lang="de-DE" sz="1000" b="1" i="0" baseline="30000">
                    <a:effectLst/>
                  </a:rPr>
                  <a:t>0.33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18019272"/>
        <c:crosses val="autoZero"/>
        <c:crossBetween val="midCat"/>
      </c:valAx>
      <c:valAx>
        <c:axId val="-2018019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M</a:t>
                </a:r>
                <a:r>
                  <a:rPr lang="de-DE" sz="1000" b="1" i="0" baseline="-25000">
                    <a:effectLst/>
                  </a:rPr>
                  <a:t>muscle</a:t>
                </a:r>
                <a:r>
                  <a:rPr lang="de-DE" sz="1000" b="1" i="0" baseline="0">
                    <a:effectLst/>
                  </a:rPr>
                  <a:t>*cos(θ)/M</a:t>
                </a:r>
                <a:r>
                  <a:rPr lang="de-DE" sz="1000" b="1" i="0" baseline="-25000">
                    <a:effectLst/>
                  </a:rPr>
                  <a:t>body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176179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FHL</c:v>
          </c:tx>
          <c:spPr>
            <a:ln w="47625">
              <a:noFill/>
            </a:ln>
          </c:spPr>
          <c:xVal>
            <c:numRef>
              <c:f>Saurian_muscle_architecture!$M$537:$M$543</c:f>
              <c:numCache>
                <c:formatCode>General</c:formatCode>
                <c:ptCount val="7"/>
                <c:pt idx="0">
                  <c:v>7.4450031274413521E-3</c:v>
                </c:pt>
                <c:pt idx="1">
                  <c:v>5.3457909920896799E-3</c:v>
                </c:pt>
                <c:pt idx="2">
                  <c:v>3.449752700612031E-3</c:v>
                </c:pt>
                <c:pt idx="3">
                  <c:v>1.0693790077978464E-2</c:v>
                </c:pt>
                <c:pt idx="4">
                  <c:v>9.3673439670251823E-3</c:v>
                </c:pt>
                <c:pt idx="5">
                  <c:v>2.5085523204263625E-2</c:v>
                </c:pt>
                <c:pt idx="6">
                  <c:v>1.4870614435199126E-2</c:v>
                </c:pt>
              </c:numCache>
            </c:numRef>
          </c:xVal>
          <c:yVal>
            <c:numRef>
              <c:f>Saurian_muscle_architecture!$K$537:$K$543</c:f>
              <c:numCache>
                <c:formatCode>General</c:formatCode>
                <c:ptCount val="7"/>
                <c:pt idx="0">
                  <c:v>1.7453698945621562E-4</c:v>
                </c:pt>
                <c:pt idx="1">
                  <c:v>1.2882714663621395E-4</c:v>
                </c:pt>
                <c:pt idx="2">
                  <c:v>3.1306428690217508E-4</c:v>
                </c:pt>
                <c:pt idx="3">
                  <c:v>1.3330519435014807E-4</c:v>
                </c:pt>
                <c:pt idx="4">
                  <c:v>8.3283433730685613E-5</c:v>
                </c:pt>
                <c:pt idx="5">
                  <c:v>1.3168831168831167E-4</c:v>
                </c:pt>
                <c:pt idx="6">
                  <c:v>1.6562779671169928E-4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FC-834D-89FE-1211AE8442D0}"/>
            </c:ext>
          </c:extLst>
        </c:ser>
        <c:ser>
          <c:idx val="1"/>
          <c:order val="1"/>
          <c:tx>
            <c:v>Euparkeria FHL</c:v>
          </c:tx>
          <c:spPr>
            <a:ln w="4762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Saurian_muscle_architecture!$K$544</c:f>
              <c:numCache>
                <c:formatCode>General</c:formatCode>
                <c:ptCount val="1"/>
                <c:pt idx="0">
                  <c:v>3.020654260650222E-4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FC-834D-89FE-1211AE844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6600664"/>
        <c:axId val="-2016593800"/>
      </c:scatterChart>
      <c:valAx>
        <c:axId val="-2016600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L</a:t>
                </a:r>
                <a:r>
                  <a:rPr lang="de-DE" sz="1000" b="1" i="0" baseline="-25000">
                    <a:effectLst/>
                  </a:rPr>
                  <a:t>o</a:t>
                </a:r>
                <a:r>
                  <a:rPr lang="de-DE" sz="1000" b="1" i="0" baseline="0">
                    <a:effectLst/>
                  </a:rPr>
                  <a:t>/M</a:t>
                </a:r>
                <a:r>
                  <a:rPr lang="de-DE" sz="1000" b="1" i="0" baseline="-25000">
                    <a:effectLst/>
                  </a:rPr>
                  <a:t>body</a:t>
                </a:r>
                <a:r>
                  <a:rPr lang="de-DE" sz="1000" b="1" i="0" baseline="30000">
                    <a:effectLst/>
                  </a:rPr>
                  <a:t>0.33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16593800"/>
        <c:crosses val="autoZero"/>
        <c:crossBetween val="midCat"/>
      </c:valAx>
      <c:valAx>
        <c:axId val="-2016593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M</a:t>
                </a:r>
                <a:r>
                  <a:rPr lang="de-DE" sz="1000" b="1" i="0" baseline="-25000">
                    <a:effectLst/>
                  </a:rPr>
                  <a:t>muscle</a:t>
                </a:r>
                <a:r>
                  <a:rPr lang="de-DE" sz="1000" b="1" i="0" baseline="0">
                    <a:effectLst/>
                  </a:rPr>
                  <a:t>*cos(θ)/M</a:t>
                </a:r>
                <a:r>
                  <a:rPr lang="de-DE" sz="1000" b="1" i="0" baseline="-25000">
                    <a:effectLst/>
                  </a:rPr>
                  <a:t>body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166006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EDL</c:v>
          </c:tx>
          <c:spPr>
            <a:ln w="47625">
              <a:noFill/>
            </a:ln>
          </c:spPr>
          <c:xVal>
            <c:numRef>
              <c:f>Saurian_muscle_architecture!$M$547:$M$553</c:f>
              <c:numCache>
                <c:formatCode>General</c:formatCode>
                <c:ptCount val="7"/>
                <c:pt idx="0">
                  <c:v>1.8080721880929001E-2</c:v>
                </c:pt>
                <c:pt idx="1">
                  <c:v>1.1642951567517353E-2</c:v>
                </c:pt>
                <c:pt idx="2">
                  <c:v>2.2156314925543721E-2</c:v>
                </c:pt>
                <c:pt idx="3">
                  <c:v>2.5330915247211486E-2</c:v>
                </c:pt>
                <c:pt idx="4">
                  <c:v>2.5604073509868833E-2</c:v>
                </c:pt>
                <c:pt idx="5">
                  <c:v>5.2516440854454338E-2</c:v>
                </c:pt>
                <c:pt idx="6">
                  <c:v>3.7321346001493422E-2</c:v>
                </c:pt>
              </c:numCache>
            </c:numRef>
          </c:xVal>
          <c:yVal>
            <c:numRef>
              <c:f>Saurian_muscle_architecture!$K$547:$K$553</c:f>
              <c:numCache>
                <c:formatCode>General</c:formatCode>
                <c:ptCount val="7"/>
                <c:pt idx="0">
                  <c:v>7.8152148528547985E-4</c:v>
                </c:pt>
                <c:pt idx="1">
                  <c:v>4.0897199460246083E-4</c:v>
                </c:pt>
                <c:pt idx="2">
                  <c:v>4.3090638930163444E-4</c:v>
                </c:pt>
                <c:pt idx="3">
                  <c:v>4.7738916213645508E-4</c:v>
                </c:pt>
                <c:pt idx="4">
                  <c:v>2.9701628080694382E-4</c:v>
                </c:pt>
                <c:pt idx="5">
                  <c:v>6.3792207792207783E-4</c:v>
                </c:pt>
                <c:pt idx="6">
                  <c:v>5.9987005188926747E-4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2B-554A-AB41-1939890E1287}"/>
            </c:ext>
          </c:extLst>
        </c:ser>
        <c:ser>
          <c:idx val="3"/>
          <c:order val="1"/>
          <c:tx>
            <c:v>Varanus EDL</c:v>
          </c:tx>
          <c:spPr>
            <a:ln w="47625">
              <a:noFill/>
            </a:ln>
          </c:spPr>
          <c:xVal>
            <c:numRef>
              <c:f>Saurian_muscle_architecture!$M$554:$M$562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4.4859999999999997E-2</c:v>
                </c:pt>
                <c:pt idx="4">
                  <c:v>3.687E-2</c:v>
                </c:pt>
                <c:pt idx="5">
                  <c:v>4.4970000000000003E-2</c:v>
                </c:pt>
                <c:pt idx="6">
                  <c:v>4.079E-2</c:v>
                </c:pt>
                <c:pt idx="7">
                  <c:v>4.5830000000000003E-2</c:v>
                </c:pt>
                <c:pt idx="8">
                  <c:v>4.0229999999999995E-2</c:v>
                </c:pt>
              </c:numCache>
            </c:numRef>
          </c:xVal>
          <c:yVal>
            <c:numRef>
              <c:f>Saurian_muscle_architecture!$K$554:$K$562</c:f>
              <c:numCache>
                <c:formatCode>General</c:formatCode>
                <c:ptCount val="9"/>
                <c:pt idx="0">
                  <c:v>2.1000000000000001E-4</c:v>
                </c:pt>
                <c:pt idx="1">
                  <c:v>5.199999999999999E-5</c:v>
                </c:pt>
                <c:pt idx="2">
                  <c:v>8.8999999999999981E-5</c:v>
                </c:pt>
                <c:pt idx="3">
                  <c:v>1.3299098795931583E-3</c:v>
                </c:pt>
                <c:pt idx="4">
                  <c:v>8.6999346945543113E-4</c:v>
                </c:pt>
                <c:pt idx="5">
                  <c:v>1.3599686555118484E-3</c:v>
                </c:pt>
                <c:pt idx="6">
                  <c:v>8.0000000000000004E-4</c:v>
                </c:pt>
                <c:pt idx="7">
                  <c:v>1.43999729770316E-3</c:v>
                </c:pt>
                <c:pt idx="8">
                  <c:v>1.0999895287928077E-3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32B-554A-AB41-1939890E1287}"/>
            </c:ext>
          </c:extLst>
        </c:ser>
        <c:ser>
          <c:idx val="2"/>
          <c:order val="2"/>
          <c:tx>
            <c:v>Geckos EDL</c:v>
          </c:tx>
          <c:spPr>
            <a:ln w="47625">
              <a:noFill/>
            </a:ln>
          </c:spPr>
          <c:xVal>
            <c:numRef>
              <c:f>Saurian_muscle_architecture!$M$563:$M$566</c:f>
              <c:numCache>
                <c:formatCode>General</c:formatCode>
                <c:ptCount val="4"/>
                <c:pt idx="0">
                  <c:v>2.2613850138861455E-2</c:v>
                </c:pt>
                <c:pt idx="1">
                  <c:v>2.3103514156761071E-2</c:v>
                </c:pt>
                <c:pt idx="2">
                  <c:v>1.5537547648243197E-2</c:v>
                </c:pt>
                <c:pt idx="3">
                  <c:v>1.7010931461161168E-2</c:v>
                </c:pt>
              </c:numCache>
            </c:numRef>
          </c:xVal>
          <c:yVal>
            <c:numRef>
              <c:f>Saurian_muscle_architecture!$K$563:$K$566</c:f>
              <c:numCache>
                <c:formatCode>General</c:formatCode>
                <c:ptCount val="4"/>
                <c:pt idx="0">
                  <c:v>7.1597816009065615E-4</c:v>
                </c:pt>
                <c:pt idx="1">
                  <c:v>6.3419386264003895E-4</c:v>
                </c:pt>
                <c:pt idx="2">
                  <c:v>1.8771929824561401E-4</c:v>
                </c:pt>
                <c:pt idx="3">
                  <c:v>3.0367504835589936E-4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32B-554A-AB41-1939890E1287}"/>
            </c:ext>
          </c:extLst>
        </c:ser>
        <c:ser>
          <c:idx val="1"/>
          <c:order val="3"/>
          <c:tx>
            <c:v>Euparkeria EDL</c:v>
          </c:tx>
          <c:spPr>
            <a:ln w="4762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Saurian_muscle_architecture!$K$567</c:f>
              <c:numCache>
                <c:formatCode>General</c:formatCode>
                <c:ptCount val="1"/>
                <c:pt idx="0">
                  <c:v>1.3992931179365919E-3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32B-554A-AB41-1939890E1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8094200"/>
        <c:axId val="-2018919448"/>
      </c:scatterChart>
      <c:valAx>
        <c:axId val="-2108094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L</a:t>
                </a:r>
                <a:r>
                  <a:rPr lang="de-DE" sz="1000" b="1" i="0" baseline="-25000">
                    <a:effectLst/>
                  </a:rPr>
                  <a:t>o</a:t>
                </a:r>
                <a:r>
                  <a:rPr lang="de-DE" sz="1000" b="1" i="0" baseline="0">
                    <a:effectLst/>
                  </a:rPr>
                  <a:t>/M</a:t>
                </a:r>
                <a:r>
                  <a:rPr lang="de-DE" sz="1000" b="1" i="0" baseline="-25000">
                    <a:effectLst/>
                  </a:rPr>
                  <a:t>body</a:t>
                </a:r>
                <a:r>
                  <a:rPr lang="de-DE" sz="1000" b="1" i="0" baseline="30000">
                    <a:effectLst/>
                  </a:rPr>
                  <a:t>0.33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18919448"/>
        <c:crosses val="autoZero"/>
        <c:crossBetween val="midCat"/>
      </c:valAx>
      <c:valAx>
        <c:axId val="-2018919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M</a:t>
                </a:r>
                <a:r>
                  <a:rPr lang="de-DE" sz="1000" b="1" i="0" baseline="-25000">
                    <a:effectLst/>
                  </a:rPr>
                  <a:t>muscle</a:t>
                </a:r>
                <a:r>
                  <a:rPr lang="de-DE" sz="1000" b="1" i="0" baseline="0">
                    <a:effectLst/>
                  </a:rPr>
                  <a:t>*cos(θ)/M</a:t>
                </a:r>
                <a:r>
                  <a:rPr lang="de-DE" sz="1000" b="1" i="0" baseline="-25000">
                    <a:effectLst/>
                  </a:rPr>
                  <a:t>body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080942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TA</c:v>
          </c:tx>
          <c:spPr>
            <a:ln w="47625">
              <a:noFill/>
            </a:ln>
          </c:spPr>
          <c:xVal>
            <c:numRef>
              <c:f>Saurian_muscle_architecture!$M$570:$M$576</c:f>
              <c:numCache>
                <c:formatCode>General</c:formatCode>
                <c:ptCount val="7"/>
                <c:pt idx="0">
                  <c:v>2.8343257520259183E-2</c:v>
                </c:pt>
                <c:pt idx="1">
                  <c:v>2.0197727265310585E-2</c:v>
                </c:pt>
                <c:pt idx="2">
                  <c:v>2.5335280586215241E-2</c:v>
                </c:pt>
                <c:pt idx="3">
                  <c:v>2.4796225743312566E-2</c:v>
                </c:pt>
                <c:pt idx="4">
                  <c:v>2.4979583912067151E-2</c:v>
                </c:pt>
                <c:pt idx="5">
                  <c:v>3.5435850867811425E-2</c:v>
                </c:pt>
                <c:pt idx="6">
                  <c:v>3.6100526999826417E-2</c:v>
                </c:pt>
              </c:numCache>
            </c:numRef>
          </c:xVal>
          <c:yVal>
            <c:numRef>
              <c:f>Saurian_muscle_architecture!$K$570:$K$576</c:f>
              <c:numCache>
                <c:formatCode>General</c:formatCode>
                <c:ptCount val="7"/>
                <c:pt idx="0">
                  <c:v>5.6432748538011695E-4</c:v>
                </c:pt>
                <c:pt idx="1">
                  <c:v>4.0700000000000003E-4</c:v>
                </c:pt>
                <c:pt idx="2">
                  <c:v>4.5071817731550274E-4</c:v>
                </c:pt>
                <c:pt idx="3">
                  <c:v>3.6306859205776173E-4</c:v>
                </c:pt>
                <c:pt idx="4">
                  <c:v>3.4964028776978415E-4</c:v>
                </c:pt>
                <c:pt idx="5">
                  <c:v>5.1441558441558445E-4</c:v>
                </c:pt>
                <c:pt idx="6">
                  <c:v>5.448108108108107E-4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60-1046-8617-C0D6C395C1FB}"/>
            </c:ext>
          </c:extLst>
        </c:ser>
        <c:ser>
          <c:idx val="3"/>
          <c:order val="1"/>
          <c:tx>
            <c:v>Varanus TIBA</c:v>
          </c:tx>
          <c:spPr>
            <a:ln w="47625">
              <a:noFill/>
            </a:ln>
          </c:spPr>
          <c:xVal>
            <c:numRef>
              <c:f>Saurian_muscle_architecture!$M$577:$M$580</c:f>
              <c:numCache>
                <c:formatCode>General</c:formatCode>
                <c:ptCount val="4"/>
                <c:pt idx="0">
                  <c:v>3.4179999999999995E-2</c:v>
                </c:pt>
                <c:pt idx="1">
                  <c:v>3.4999999999999996E-2</c:v>
                </c:pt>
                <c:pt idx="2">
                  <c:v>3.986E-2</c:v>
                </c:pt>
                <c:pt idx="3">
                  <c:v>3.406E-2</c:v>
                </c:pt>
              </c:numCache>
            </c:numRef>
          </c:xVal>
          <c:yVal>
            <c:numRef>
              <c:f>Saurian_muscle_architecture!$K$577:$K$580</c:f>
              <c:numCache>
                <c:formatCode>General</c:formatCode>
                <c:ptCount val="4"/>
                <c:pt idx="0">
                  <c:v>5.5753178364422503E-4</c:v>
                </c:pt>
                <c:pt idx="1">
                  <c:v>5.8831365225537713E-4</c:v>
                </c:pt>
                <c:pt idx="2">
                  <c:v>1.6313939166241549E-3</c:v>
                </c:pt>
                <c:pt idx="3">
                  <c:v>6.9991824743976822E-4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160-1046-8617-C0D6C395C1FB}"/>
            </c:ext>
          </c:extLst>
        </c:ser>
        <c:ser>
          <c:idx val="2"/>
          <c:order val="2"/>
          <c:tx>
            <c:v>Geckos TIAN</c:v>
          </c:tx>
          <c:spPr>
            <a:ln w="47625">
              <a:noFill/>
            </a:ln>
          </c:spPr>
          <c:xVal>
            <c:numRef>
              <c:f>Saurian_muscle_architecture!$M$581:$M$584</c:f>
              <c:numCache>
                <c:formatCode>General</c:formatCode>
                <c:ptCount val="4"/>
                <c:pt idx="0">
                  <c:v>1.2399402458228121E-2</c:v>
                </c:pt>
                <c:pt idx="1">
                  <c:v>1.2897695747145976E-2</c:v>
                </c:pt>
                <c:pt idx="2">
                  <c:v>1.9485634130337791E-2</c:v>
                </c:pt>
                <c:pt idx="3">
                  <c:v>1.7853504160096807E-2</c:v>
                </c:pt>
              </c:numCache>
            </c:numRef>
          </c:xVal>
          <c:yVal>
            <c:numRef>
              <c:f>Saurian_muscle_architecture!$K$581:$K$584</c:f>
              <c:numCache>
                <c:formatCode>General</c:formatCode>
                <c:ptCount val="4"/>
                <c:pt idx="0">
                  <c:v>4.3537694143072636E-4</c:v>
                </c:pt>
                <c:pt idx="1">
                  <c:v>6.9043613196557259E-4</c:v>
                </c:pt>
                <c:pt idx="2">
                  <c:v>2.4115863599856073E-4</c:v>
                </c:pt>
                <c:pt idx="3">
                  <c:v>2.1757635219417338E-4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160-1046-8617-C0D6C395C1FB}"/>
            </c:ext>
          </c:extLst>
        </c:ser>
        <c:ser>
          <c:idx val="1"/>
          <c:order val="3"/>
          <c:tx>
            <c:v>Euparkeria TA</c:v>
          </c:tx>
          <c:spPr>
            <a:ln w="4762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Saurian_muscle_architecture!$K$585</c:f>
              <c:numCache>
                <c:formatCode>General</c:formatCode>
                <c:ptCount val="1"/>
                <c:pt idx="0">
                  <c:v>1.0524965743264035E-3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160-1046-8617-C0D6C395C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8556040"/>
        <c:axId val="-2098549160"/>
      </c:scatterChart>
      <c:valAx>
        <c:axId val="-2098556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L</a:t>
                </a:r>
                <a:r>
                  <a:rPr lang="de-DE" sz="1000" b="1" i="0" baseline="-25000">
                    <a:effectLst/>
                  </a:rPr>
                  <a:t>o</a:t>
                </a:r>
                <a:r>
                  <a:rPr lang="de-DE" sz="1000" b="1" i="0" baseline="0">
                    <a:effectLst/>
                  </a:rPr>
                  <a:t>/M</a:t>
                </a:r>
                <a:r>
                  <a:rPr lang="de-DE" sz="1000" b="1" i="0" baseline="-25000">
                    <a:effectLst/>
                  </a:rPr>
                  <a:t>body</a:t>
                </a:r>
                <a:r>
                  <a:rPr lang="de-DE" sz="1000" b="1" i="0" baseline="30000">
                    <a:effectLst/>
                  </a:rPr>
                  <a:t>0.33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98549160"/>
        <c:crosses val="autoZero"/>
        <c:crossBetween val="midCat"/>
      </c:valAx>
      <c:valAx>
        <c:axId val="-2098549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M</a:t>
                </a:r>
                <a:r>
                  <a:rPr lang="de-DE" sz="1000" b="1" i="0" baseline="-25000">
                    <a:effectLst/>
                  </a:rPr>
                  <a:t>muscle</a:t>
                </a:r>
                <a:r>
                  <a:rPr lang="de-DE" sz="1000" b="1" i="0" baseline="0">
                    <a:effectLst/>
                  </a:rPr>
                  <a:t>*cos(θ)/M</a:t>
                </a:r>
                <a:r>
                  <a:rPr lang="de-DE" sz="1000" b="1" i="0" baseline="-25000">
                    <a:effectLst/>
                  </a:rPr>
                  <a:t>body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985560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IF</c:v>
          </c:tx>
          <c:spPr>
            <a:ln w="47625">
              <a:noFill/>
            </a:ln>
          </c:spPr>
          <c:xVal>
            <c:numRef>
              <c:f>Saurian_muscle_architecture!$M$92:$M$98</c:f>
              <c:numCache>
                <c:formatCode>General</c:formatCode>
                <c:ptCount val="7"/>
                <c:pt idx="0">
                  <c:v>1.7763516233895157E-2</c:v>
                </c:pt>
                <c:pt idx="1">
                  <c:v>1.6224249144424718E-2</c:v>
                </c:pt>
                <c:pt idx="2">
                  <c:v>7.9900723839981883E-3</c:v>
                </c:pt>
                <c:pt idx="3">
                  <c:v>2.005085639620962E-2</c:v>
                </c:pt>
                <c:pt idx="4">
                  <c:v>1.3894893551087353E-2</c:v>
                </c:pt>
                <c:pt idx="5">
                  <c:v>1.2950656288380002E-2</c:v>
                </c:pt>
                <c:pt idx="6">
                  <c:v>2.18143471930849E-2</c:v>
                </c:pt>
              </c:numCache>
            </c:numRef>
          </c:xVal>
          <c:yVal>
            <c:numRef>
              <c:f>Saurian_muscle_architecture!$K$92:$K$98</c:f>
              <c:numCache>
                <c:formatCode>General</c:formatCode>
                <c:ptCount val="7"/>
                <c:pt idx="0">
                  <c:v>9.5847953216374247E-4</c:v>
                </c:pt>
                <c:pt idx="1">
                  <c:v>5.2796067261349968E-4</c:v>
                </c:pt>
                <c:pt idx="2">
                  <c:v>3.8973022008462075E-4</c:v>
                </c:pt>
                <c:pt idx="3">
                  <c:v>6.5655355521563946E-4</c:v>
                </c:pt>
                <c:pt idx="4">
                  <c:v>3.1601886073731318E-4</c:v>
                </c:pt>
                <c:pt idx="5">
                  <c:v>1.067012987012987E-3</c:v>
                </c:pt>
                <c:pt idx="6">
                  <c:v>6.8815235596432608E-4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6E-814E-837E-5A9B0F1BDA67}"/>
            </c:ext>
          </c:extLst>
        </c:ser>
        <c:ser>
          <c:idx val="3"/>
          <c:order val="1"/>
          <c:tx>
            <c:v>Varanus ILFEM</c:v>
          </c:tx>
          <c:spPr>
            <a:ln w="47625">
              <a:noFill/>
            </a:ln>
          </c:spPr>
          <c:xVal>
            <c:numRef>
              <c:f>Saurian_muscle_architecture!$M$99:$M$104</c:f>
              <c:numCache>
                <c:formatCode>General</c:formatCode>
                <c:ptCount val="6"/>
                <c:pt idx="0">
                  <c:v>1.9380000000000001E-2</c:v>
                </c:pt>
                <c:pt idx="1">
                  <c:v>2.4329999999999997E-2</c:v>
                </c:pt>
                <c:pt idx="2">
                  <c:v>2.427E-2</c:v>
                </c:pt>
                <c:pt idx="3">
                  <c:v>1.8349999999999998E-2</c:v>
                </c:pt>
                <c:pt idx="4">
                  <c:v>2.0290000000000002E-2</c:v>
                </c:pt>
                <c:pt idx="5">
                  <c:v>2.5229999999999999E-2</c:v>
                </c:pt>
              </c:numCache>
            </c:numRef>
          </c:xVal>
          <c:yVal>
            <c:numRef>
              <c:f>Saurian_muscle_architecture!$K$99:$K$104</c:f>
              <c:numCache>
                <c:formatCode>General</c:formatCode>
                <c:ptCount val="6"/>
                <c:pt idx="0">
                  <c:v>5.3982851351517234E-4</c:v>
                </c:pt>
                <c:pt idx="1">
                  <c:v>1.0091628262833086E-3</c:v>
                </c:pt>
                <c:pt idx="2">
                  <c:v>6.6939900043710217E-4</c:v>
                </c:pt>
                <c:pt idx="3">
                  <c:v>2.5986666839639995E-4</c:v>
                </c:pt>
                <c:pt idx="4">
                  <c:v>4.7969905669614717E-4</c:v>
                </c:pt>
                <c:pt idx="5">
                  <c:v>6.8933113548893317E-4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6E-814E-837E-5A9B0F1BDA67}"/>
            </c:ext>
          </c:extLst>
        </c:ser>
        <c:ser>
          <c:idx val="2"/>
          <c:order val="2"/>
          <c:tx>
            <c:v>Geckos ILFE</c:v>
          </c:tx>
          <c:spPr>
            <a:ln w="47625">
              <a:noFill/>
            </a:ln>
          </c:spPr>
          <c:xVal>
            <c:numRef>
              <c:f>Saurian_muscle_architecture!$M$105:$M$108</c:f>
              <c:numCache>
                <c:formatCode>General</c:formatCode>
                <c:ptCount val="4"/>
                <c:pt idx="0">
                  <c:v>9.4954852884010579E-3</c:v>
                </c:pt>
                <c:pt idx="1">
                  <c:v>1.6861326157526085E-2</c:v>
                </c:pt>
                <c:pt idx="2">
                  <c:v>1.5681675968319663E-2</c:v>
                </c:pt>
                <c:pt idx="3">
                  <c:v>1.1562117477507981E-2</c:v>
                </c:pt>
              </c:numCache>
            </c:numRef>
          </c:xVal>
          <c:yVal>
            <c:numRef>
              <c:f>Saurian_muscle_architecture!$K$105:$K$108</c:f>
              <c:numCache>
                <c:formatCode>General</c:formatCode>
                <c:ptCount val="4"/>
                <c:pt idx="0">
                  <c:v>6.0265787575976097E-4</c:v>
                </c:pt>
                <c:pt idx="1">
                  <c:v>6.0691670725767169E-4</c:v>
                </c:pt>
                <c:pt idx="2">
                  <c:v>4.0701754385964913E-4</c:v>
                </c:pt>
                <c:pt idx="3">
                  <c:v>4.1972920696324947E-4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B6E-814E-837E-5A9B0F1BDA67}"/>
            </c:ext>
          </c:extLst>
        </c:ser>
        <c:ser>
          <c:idx val="1"/>
          <c:order val="3"/>
          <c:tx>
            <c:v>Euparkeria</c:v>
          </c:tx>
          <c:spPr>
            <a:ln w="4762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Saurian_muscle_architecture!$K$109</c:f>
              <c:numCache>
                <c:formatCode>General</c:formatCode>
                <c:ptCount val="1"/>
                <c:pt idx="0">
                  <c:v>1.0666484755912739E-3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B6E-814E-837E-5A9B0F1BD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8499272"/>
        <c:axId val="-2098492696"/>
      </c:scatterChart>
      <c:valAx>
        <c:axId val="-2098499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000" b="1" i="0" baseline="0">
                    <a:effectLst/>
                  </a:rPr>
                  <a:t>L</a:t>
                </a:r>
                <a:r>
                  <a:rPr lang="de-DE" sz="1000" b="1" i="0" baseline="-25000">
                    <a:effectLst/>
                  </a:rPr>
                  <a:t>o</a:t>
                </a:r>
                <a:r>
                  <a:rPr lang="de-DE" sz="1000" b="1" i="0" baseline="0">
                    <a:effectLst/>
                  </a:rPr>
                  <a:t>/M</a:t>
                </a:r>
                <a:r>
                  <a:rPr lang="de-DE" sz="1000" b="1" i="0" baseline="-25000">
                    <a:effectLst/>
                  </a:rPr>
                  <a:t>body</a:t>
                </a:r>
                <a:r>
                  <a:rPr lang="de-DE" sz="1000" b="1" i="0" baseline="30000">
                    <a:effectLst/>
                  </a:rPr>
                  <a:t>0.33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98492696"/>
        <c:crosses val="autoZero"/>
        <c:crossBetween val="midCat"/>
      </c:valAx>
      <c:valAx>
        <c:axId val="-2098492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1000" b="1" i="0" baseline="0">
                    <a:effectLst/>
                  </a:rPr>
                  <a:t>M</a:t>
                </a:r>
                <a:r>
                  <a:rPr lang="de-DE" sz="1000" b="1" i="0" baseline="-25000">
                    <a:effectLst/>
                  </a:rPr>
                  <a:t>muscle</a:t>
                </a:r>
                <a:r>
                  <a:rPr lang="de-DE" sz="1000" b="1" i="0" baseline="0">
                    <a:effectLst/>
                  </a:rPr>
                  <a:t>*cos(θ)/M</a:t>
                </a:r>
                <a:r>
                  <a:rPr lang="de-DE" sz="1000" b="1" i="0" baseline="-25000">
                    <a:effectLst/>
                  </a:rPr>
                  <a:t>body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984992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GL</c:v>
          </c:tx>
          <c:spPr>
            <a:ln w="47625">
              <a:noFill/>
            </a:ln>
          </c:spPr>
          <c:yVal>
            <c:numRef>
              <c:f>(Saurian_muscle_architecture!$K$434,Saurian_muscle_architecture!$K$437,Saurian_muscle_architecture!$K$440,Saurian_muscle_architecture!$K$443,Saurian_muscle_architecture!$K$446,Saurian_muscle_architecture!$K$449,Saurian_muscle_architecture!$K$452)</c:f>
              <c:numCache>
                <c:formatCode>General</c:formatCode>
                <c:ptCount val="7"/>
                <c:pt idx="0">
                  <c:v>1.3683827941076893E-3</c:v>
                </c:pt>
                <c:pt idx="1">
                  <c:v>9.772932601725575E-4</c:v>
                </c:pt>
                <c:pt idx="2">
                  <c:v>9.5183521063742465E-4</c:v>
                </c:pt>
                <c:pt idx="3">
                  <c:v>9.8016745416649835E-4</c:v>
                </c:pt>
                <c:pt idx="4">
                  <c:v>9.1300673025844145E-4</c:v>
                </c:pt>
                <c:pt idx="5">
                  <c:v>1.2176937656867516E-3</c:v>
                </c:pt>
                <c:pt idx="6">
                  <c:v>1.007150048891448E-3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1D-2947-B105-E58783946BAB}"/>
            </c:ext>
          </c:extLst>
        </c:ser>
        <c:ser>
          <c:idx val="1"/>
          <c:order val="1"/>
          <c:tx>
            <c:v>Croc GM</c:v>
          </c:tx>
          <c:spPr>
            <a:ln w="47625">
              <a:noFill/>
            </a:ln>
          </c:spPr>
          <c:yVal>
            <c:numRef>
              <c:f>(Saurian_muscle_architecture!$K$435,Saurian_muscle_architecture!$K$438,Saurian_muscle_architecture!$K$441,Saurian_muscle_architecture!$K$444,Saurian_muscle_architecture!$K$447,Saurian_muscle_architecture!$K$450,Saurian_muscle_architecture!$K$453)</c:f>
              <c:numCache>
                <c:formatCode>General</c:formatCode>
                <c:ptCount val="7"/>
                <c:pt idx="0">
                  <c:v>6.8619060559452888E-4</c:v>
                </c:pt>
                <c:pt idx="1">
                  <c:v>3.0488024572872464E-4</c:v>
                </c:pt>
                <c:pt idx="2">
                  <c:v>4.7548291233283796E-4</c:v>
                </c:pt>
                <c:pt idx="3">
                  <c:v>3.0072202166064985E-4</c:v>
                </c:pt>
                <c:pt idx="4">
                  <c:v>2.6151079136690648E-4</c:v>
                </c:pt>
                <c:pt idx="5">
                  <c:v>3.6909090909090908E-4</c:v>
                </c:pt>
                <c:pt idx="6">
                  <c:v>2.7756972468759202E-4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61D-2947-B105-E58783946BAB}"/>
            </c:ext>
          </c:extLst>
        </c:ser>
        <c:ser>
          <c:idx val="3"/>
          <c:order val="2"/>
          <c:tx>
            <c:v>Varanus GAST</c:v>
          </c:tx>
          <c:spPr>
            <a:ln w="47625">
              <a:noFill/>
            </a:ln>
          </c:spPr>
          <c:yVal>
            <c:numRef>
              <c:f>Saurian_muscle_architecture!$K$455:$K$463</c:f>
              <c:numCache>
                <c:formatCode>General</c:formatCode>
                <c:ptCount val="9"/>
                <c:pt idx="0">
                  <c:v>7.0099999999999997E-3</c:v>
                </c:pt>
                <c:pt idx="1">
                  <c:v>1.2000000000000001E-3</c:v>
                </c:pt>
                <c:pt idx="2">
                  <c:v>1.7799999999999999E-3</c:v>
                </c:pt>
                <c:pt idx="3">
                  <c:v>2.7227341160405857E-3</c:v>
                </c:pt>
                <c:pt idx="4">
                  <c:v>2.3164094687942159E-3</c:v>
                </c:pt>
                <c:pt idx="5">
                  <c:v>2.6180048477808535E-3</c:v>
                </c:pt>
                <c:pt idx="6">
                  <c:v>1.3315183210276171E-3</c:v>
                </c:pt>
                <c:pt idx="7">
                  <c:v>2.8212225923344232E-3</c:v>
                </c:pt>
                <c:pt idx="8">
                  <c:v>2.5525750914896341E-3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61D-2947-B105-E58783946BAB}"/>
            </c:ext>
          </c:extLst>
        </c:ser>
        <c:ser>
          <c:idx val="2"/>
          <c:order val="3"/>
          <c:tx>
            <c:v>Geckos GAST</c:v>
          </c:tx>
          <c:spPr>
            <a:ln w="47625">
              <a:noFill/>
            </a:ln>
          </c:spPr>
          <c:yVal>
            <c:numRef>
              <c:f>Saurian_muscle_architecture!$K$464:$K$467</c:f>
              <c:numCache>
                <c:formatCode>General</c:formatCode>
                <c:ptCount val="4"/>
                <c:pt idx="0">
                  <c:v>7.7499805990769832E-4</c:v>
                </c:pt>
                <c:pt idx="1">
                  <c:v>1.3660377989272254E-3</c:v>
                </c:pt>
                <c:pt idx="2">
                  <c:v>6.3039369715707613E-4</c:v>
                </c:pt>
                <c:pt idx="3">
                  <c:v>5.6491105146823004E-4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61D-2947-B105-E58783946BAB}"/>
            </c:ext>
          </c:extLst>
        </c:ser>
        <c:ser>
          <c:idx val="4"/>
          <c:order val="4"/>
          <c:tx>
            <c:v>Euparkeria GL</c:v>
          </c:tx>
          <c:spPr>
            <a:ln w="47625">
              <a:noFill/>
            </a:ln>
          </c:spPr>
          <c:yVal>
            <c:numRef>
              <c:f>Saurian_muscle_architecture!$K$468</c:f>
              <c:numCache>
                <c:formatCode>General</c:formatCode>
                <c:ptCount val="1"/>
                <c:pt idx="0">
                  <c:v>2.3618061299078143E-3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61D-2947-B105-E58783946BAB}"/>
            </c:ext>
          </c:extLst>
        </c:ser>
        <c:ser>
          <c:idx val="5"/>
          <c:order val="5"/>
          <c:tx>
            <c:v>Euparkeria GM</c:v>
          </c:tx>
          <c:spPr>
            <a:ln w="47625">
              <a:noFill/>
            </a:ln>
          </c:spPr>
          <c:yVal>
            <c:numRef>
              <c:f>Saurian_muscle_architecture!$K$469</c:f>
              <c:numCache>
                <c:formatCode>General</c:formatCode>
                <c:ptCount val="1"/>
                <c:pt idx="0">
                  <c:v>1.3122120836155694E-3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61D-2947-B105-E58783946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7751720"/>
        <c:axId val="-2017485496"/>
      </c:scatterChart>
      <c:valAx>
        <c:axId val="-201775172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17485496"/>
        <c:crosses val="autoZero"/>
        <c:crossBetween val="midCat"/>
      </c:valAx>
      <c:valAx>
        <c:axId val="-2017485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177517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GAST sum</c:v>
          </c:tx>
          <c:spPr>
            <a:ln w="47625">
              <a:noFill/>
            </a:ln>
          </c:spPr>
          <c:xVal>
            <c:numRef>
              <c:f>(Saurian_muscle_architecture!$M$436,Saurian_muscle_architecture!$M$439,Saurian_muscle_architecture!$M$442,Saurian_muscle_architecture!$M$445,Saurian_muscle_architecture!$M$448,Saurian_muscle_architecture!$M$451,Saurian_muscle_architecture!$M$454)</c:f>
              <c:numCache>
                <c:formatCode>General</c:formatCode>
                <c:ptCount val="7"/>
                <c:pt idx="0">
                  <c:v>1.7431383262295017E-2</c:v>
                </c:pt>
                <c:pt idx="1">
                  <c:v>1.2357737180395633E-2</c:v>
                </c:pt>
                <c:pt idx="2">
                  <c:v>1.8658339875353241E-2</c:v>
                </c:pt>
                <c:pt idx="3">
                  <c:v>2.2069866241661285E-2</c:v>
                </c:pt>
                <c:pt idx="4">
                  <c:v>2.1857135923058761E-2</c:v>
                </c:pt>
                <c:pt idx="5">
                  <c:v>1.20838800801026E-2</c:v>
                </c:pt>
                <c:pt idx="6">
                  <c:v>2.2917305211346287E-2</c:v>
                </c:pt>
              </c:numCache>
            </c:numRef>
          </c:xVal>
          <c:yVal>
            <c:numRef>
              <c:f>(Saurian_muscle_architecture!$K$436,Saurian_muscle_architecture!$K$439,Saurian_muscle_architecture!$K$442,Saurian_muscle_architecture!$K$445,Saurian_muscle_architecture!$K$448,Saurian_muscle_architecture!$K$451,Saurian_muscle_architecture!$K$454)</c:f>
              <c:numCache>
                <c:formatCode>General</c:formatCode>
                <c:ptCount val="7"/>
                <c:pt idx="0">
                  <c:v>2.0919380397823942E-3</c:v>
                </c:pt>
                <c:pt idx="1">
                  <c:v>1.3662468850353525E-3</c:v>
                </c:pt>
                <c:pt idx="2">
                  <c:v>1.5791101531082259E-3</c:v>
                </c:pt>
                <c:pt idx="3">
                  <c:v>1.3689226347605033E-3</c:v>
                </c:pt>
                <c:pt idx="4">
                  <c:v>1.3539451345075785E-3</c:v>
                </c:pt>
                <c:pt idx="5">
                  <c:v>1.6157976058934996E-3</c:v>
                </c:pt>
                <c:pt idx="6">
                  <c:v>1.3182304384352079E-3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D7-C647-B0DC-A107A7D199BB}"/>
            </c:ext>
          </c:extLst>
        </c:ser>
        <c:ser>
          <c:idx val="3"/>
          <c:order val="1"/>
          <c:tx>
            <c:v>Varanus GAST</c:v>
          </c:tx>
          <c:spPr>
            <a:ln w="47625">
              <a:noFill/>
            </a:ln>
          </c:spPr>
          <c:xVal>
            <c:numRef>
              <c:f>Saurian_muscle_architecture!$M$455:$M$463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2.9409999999999999E-2</c:v>
                </c:pt>
                <c:pt idx="4">
                  <c:v>1.8319999999999999E-2</c:v>
                </c:pt>
                <c:pt idx="5">
                  <c:v>3.431E-2</c:v>
                </c:pt>
                <c:pt idx="6">
                  <c:v>0.02</c:v>
                </c:pt>
                <c:pt idx="7">
                  <c:v>3.0080000000000003E-2</c:v>
                </c:pt>
                <c:pt idx="8">
                  <c:v>0.03</c:v>
                </c:pt>
              </c:numCache>
            </c:numRef>
          </c:xVal>
          <c:yVal>
            <c:numRef>
              <c:f>Saurian_muscle_architecture!$K$455:$K$463</c:f>
              <c:numCache>
                <c:formatCode>General</c:formatCode>
                <c:ptCount val="9"/>
                <c:pt idx="0">
                  <c:v>7.0099999999999997E-3</c:v>
                </c:pt>
                <c:pt idx="1">
                  <c:v>1.2000000000000001E-3</c:v>
                </c:pt>
                <c:pt idx="2">
                  <c:v>1.7799999999999999E-3</c:v>
                </c:pt>
                <c:pt idx="3">
                  <c:v>2.7227341160405857E-3</c:v>
                </c:pt>
                <c:pt idx="4">
                  <c:v>2.3164094687942159E-3</c:v>
                </c:pt>
                <c:pt idx="5">
                  <c:v>2.6180048477808535E-3</c:v>
                </c:pt>
                <c:pt idx="6">
                  <c:v>1.3315183210276171E-3</c:v>
                </c:pt>
                <c:pt idx="7">
                  <c:v>2.8212225923344232E-3</c:v>
                </c:pt>
                <c:pt idx="8">
                  <c:v>2.5525750914896341E-3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D7-C647-B0DC-A107A7D199BB}"/>
            </c:ext>
          </c:extLst>
        </c:ser>
        <c:ser>
          <c:idx val="2"/>
          <c:order val="2"/>
          <c:tx>
            <c:v>Geckos GAST</c:v>
          </c:tx>
          <c:spPr>
            <a:ln w="47625">
              <a:noFill/>
            </a:ln>
          </c:spPr>
          <c:xVal>
            <c:numRef>
              <c:f>Saurian_muscle_architecture!$M$464:$M$467</c:f>
              <c:numCache>
                <c:formatCode>General</c:formatCode>
                <c:ptCount val="4"/>
                <c:pt idx="0">
                  <c:v>8.4483478702849779E-3</c:v>
                </c:pt>
                <c:pt idx="1">
                  <c:v>1.2299971802906835E-2</c:v>
                </c:pt>
                <c:pt idx="2">
                  <c:v>1.2814551886798557E-2</c:v>
                </c:pt>
                <c:pt idx="3">
                  <c:v>9.2842474365368698E-3</c:v>
                </c:pt>
              </c:numCache>
            </c:numRef>
          </c:xVal>
          <c:yVal>
            <c:numRef>
              <c:f>Saurian_muscle_architecture!$K$464:$K$467</c:f>
              <c:numCache>
                <c:formatCode>General</c:formatCode>
                <c:ptCount val="4"/>
                <c:pt idx="0">
                  <c:v>7.7499805990769832E-4</c:v>
                </c:pt>
                <c:pt idx="1">
                  <c:v>1.3660377989272254E-3</c:v>
                </c:pt>
                <c:pt idx="2">
                  <c:v>6.3039369715707613E-4</c:v>
                </c:pt>
                <c:pt idx="3">
                  <c:v>5.6491105146823004E-4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1D7-C647-B0DC-A107A7D199BB}"/>
            </c:ext>
          </c:extLst>
        </c:ser>
        <c:ser>
          <c:idx val="1"/>
          <c:order val="3"/>
          <c:tx>
            <c:v>Euparkeria GAST sum</c:v>
          </c:tx>
          <c:spPr>
            <a:ln w="4762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Saurian_muscle_architecture!$K$470</c:f>
              <c:numCache>
                <c:formatCode>General</c:formatCode>
                <c:ptCount val="1"/>
                <c:pt idx="0">
                  <c:v>3.6740182135233841E-3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1D7-C647-B0DC-A107A7D19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0630872"/>
        <c:axId val="2115253064"/>
      </c:scatterChart>
      <c:valAx>
        <c:axId val="-2020630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L</a:t>
                </a:r>
                <a:r>
                  <a:rPr lang="de-DE" sz="1000" b="1" i="0" baseline="-25000">
                    <a:effectLst/>
                  </a:rPr>
                  <a:t>o</a:t>
                </a:r>
                <a:r>
                  <a:rPr lang="de-DE" sz="1000" b="1" i="0" baseline="0">
                    <a:effectLst/>
                  </a:rPr>
                  <a:t>/M</a:t>
                </a:r>
                <a:r>
                  <a:rPr lang="de-DE" sz="1000" b="1" i="0" baseline="-25000">
                    <a:effectLst/>
                  </a:rPr>
                  <a:t>body</a:t>
                </a:r>
                <a:r>
                  <a:rPr lang="de-DE" sz="1000" b="1" i="0" baseline="30000">
                    <a:effectLst/>
                  </a:rPr>
                  <a:t>0.33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5253064"/>
        <c:crosses val="autoZero"/>
        <c:crossBetween val="midCat"/>
      </c:valAx>
      <c:valAx>
        <c:axId val="2115253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1000" b="1" i="0" baseline="0">
                    <a:effectLst/>
                  </a:rPr>
                  <a:t>M</a:t>
                </a:r>
                <a:r>
                  <a:rPr lang="de-DE" sz="1000" b="1" i="0" baseline="-25000">
                    <a:effectLst/>
                  </a:rPr>
                  <a:t>muscle</a:t>
                </a:r>
                <a:r>
                  <a:rPr lang="de-DE" sz="1000" b="1" i="0" baseline="0">
                    <a:effectLst/>
                  </a:rPr>
                  <a:t>*cos(θ)/M</a:t>
                </a:r>
                <a:r>
                  <a:rPr lang="de-DE" sz="1000" b="1" i="0" baseline="-25000">
                    <a:effectLst/>
                  </a:rPr>
                  <a:t>body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206308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FTI 2</c:v>
          </c:tx>
          <c:spPr>
            <a:ln w="47625">
              <a:noFill/>
            </a:ln>
          </c:spPr>
          <c:xVal>
            <c:numRef>
              <c:f>Saurian_muscle_architecture!$M$357:$M$363</c:f>
              <c:numCache>
                <c:formatCode>General</c:formatCode>
                <c:ptCount val="7"/>
                <c:pt idx="0">
                  <c:v>5.8188577075002149E-2</c:v>
                </c:pt>
                <c:pt idx="1">
                  <c:v>3.6333257420812906E-2</c:v>
                </c:pt>
                <c:pt idx="2">
                  <c:v>4.6924055551335692E-2</c:v>
                </c:pt>
                <c:pt idx="3">
                  <c:v>6.4430085219820257E-2</c:v>
                </c:pt>
                <c:pt idx="4">
                  <c:v>4.5292842773893977E-2</c:v>
                </c:pt>
                <c:pt idx="5">
                  <c:v>2.5493417890511814E-2</c:v>
                </c:pt>
                <c:pt idx="6">
                  <c:v>5.7373622789778637E-2</c:v>
                </c:pt>
              </c:numCache>
            </c:numRef>
          </c:xVal>
          <c:yVal>
            <c:numRef>
              <c:f>Saurian_muscle_architecture!$K$357:$K$363</c:f>
              <c:numCache>
                <c:formatCode>General</c:formatCode>
                <c:ptCount val="7"/>
                <c:pt idx="0">
                  <c:v>1.3233871559312689E-3</c:v>
                </c:pt>
                <c:pt idx="1">
                  <c:v>1.3943333333333331E-3</c:v>
                </c:pt>
                <c:pt idx="2">
                  <c:v>1.5205547300643882E-3</c:v>
                </c:pt>
                <c:pt idx="3">
                  <c:v>1.3032490974729243E-3</c:v>
                </c:pt>
                <c:pt idx="4">
                  <c:v>6.1582733812949641E-4</c:v>
                </c:pt>
                <c:pt idx="5">
                  <c:v>7.7181818181818178E-4</c:v>
                </c:pt>
                <c:pt idx="6">
                  <c:v>8.5845945945945941E-4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C9-9B48-BF0A-10F24EC49E14}"/>
            </c:ext>
          </c:extLst>
        </c:ser>
        <c:ser>
          <c:idx val="3"/>
          <c:order val="1"/>
          <c:tx>
            <c:v>Varanus FTI (S) * 0.5</c:v>
          </c:tx>
          <c:spPr>
            <a:ln w="47625">
              <a:noFill/>
            </a:ln>
          </c:spPr>
          <c:xVal>
            <c:numRef>
              <c:f>Saurian_muscle_architecture!$M$364:$M$369</c:f>
              <c:numCache>
                <c:formatCode>General</c:formatCode>
                <c:ptCount val="6"/>
                <c:pt idx="0">
                  <c:v>5.969E-2</c:v>
                </c:pt>
                <c:pt idx="1">
                  <c:v>4.5949999999999998E-2</c:v>
                </c:pt>
                <c:pt idx="2">
                  <c:v>5.4289999999999998E-2</c:v>
                </c:pt>
                <c:pt idx="3">
                  <c:v>4.1390000000000003E-2</c:v>
                </c:pt>
                <c:pt idx="4">
                  <c:v>4.0700000000000007E-2</c:v>
                </c:pt>
                <c:pt idx="5">
                  <c:v>4.8700000000000007E-2</c:v>
                </c:pt>
              </c:numCache>
            </c:numRef>
          </c:xVal>
          <c:yVal>
            <c:numRef>
              <c:f>Saurian_muscle_architecture!$N$364:$N$369</c:f>
              <c:numCache>
                <c:formatCode>0.000000</c:formatCode>
                <c:ptCount val="6"/>
                <c:pt idx="0">
                  <c:v>7.3991092593582225E-4</c:v>
                </c:pt>
                <c:pt idx="1">
                  <c:v>1.2197225335234315E-3</c:v>
                </c:pt>
                <c:pt idx="2">
                  <c:v>1.2548296654962424E-3</c:v>
                </c:pt>
                <c:pt idx="3">
                  <c:v>5.399634097596281E-4</c:v>
                </c:pt>
                <c:pt idx="4">
                  <c:v>7.9999399490154617E-4</c:v>
                </c:pt>
                <c:pt idx="5">
                  <c:v>1.6749556381403183E-3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C9-9B48-BF0A-10F24EC49E14}"/>
            </c:ext>
          </c:extLst>
        </c:ser>
        <c:ser>
          <c:idx val="2"/>
          <c:order val="2"/>
          <c:tx>
            <c:v>Gecko FTEA</c:v>
          </c:tx>
          <c:spPr>
            <a:ln w="47625">
              <a:noFill/>
            </a:ln>
          </c:spPr>
          <c:xVal>
            <c:numRef>
              <c:f>Saurian_muscle_architecture!$M$370:$M$371</c:f>
              <c:numCache>
                <c:formatCode>General</c:formatCode>
                <c:ptCount val="2"/>
                <c:pt idx="0">
                  <c:v>1.3725056839100845E-2</c:v>
                </c:pt>
                <c:pt idx="1">
                  <c:v>1.9334885884217844E-2</c:v>
                </c:pt>
              </c:numCache>
            </c:numRef>
          </c:xVal>
          <c:yVal>
            <c:numRef>
              <c:f>Saurian_muscle_architecture!$K$370:$K$371</c:f>
              <c:numCache>
                <c:formatCode>General</c:formatCode>
                <c:ptCount val="2"/>
                <c:pt idx="0">
                  <c:v>8.4644481777727072E-4</c:v>
                </c:pt>
                <c:pt idx="1">
                  <c:v>1.271537311516441E-3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7C9-9B48-BF0A-10F24EC49E14}"/>
            </c:ext>
          </c:extLst>
        </c:ser>
        <c:ser>
          <c:idx val="1"/>
          <c:order val="3"/>
          <c:tx>
            <c:v>Euparkeria FTI 2</c:v>
          </c:tx>
          <c:spPr>
            <a:ln w="4762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Saurian_muscle_architecture!$K$372</c:f>
              <c:numCache>
                <c:formatCode>General</c:formatCode>
                <c:ptCount val="1"/>
                <c:pt idx="0">
                  <c:v>2.6330635612857828E-3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7C9-9B48-BF0A-10F24EC49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8358728"/>
        <c:axId val="-2017922584"/>
      </c:scatterChart>
      <c:valAx>
        <c:axId val="-2018358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L</a:t>
                </a:r>
                <a:r>
                  <a:rPr lang="de-DE" sz="1000" b="1" i="0" baseline="-25000">
                    <a:effectLst/>
                  </a:rPr>
                  <a:t>o</a:t>
                </a:r>
                <a:r>
                  <a:rPr lang="de-DE" sz="1000" b="1" i="0" baseline="0">
                    <a:effectLst/>
                  </a:rPr>
                  <a:t>/M</a:t>
                </a:r>
                <a:r>
                  <a:rPr lang="de-DE" sz="1000" b="1" i="0" baseline="-25000">
                    <a:effectLst/>
                  </a:rPr>
                  <a:t>body</a:t>
                </a:r>
                <a:r>
                  <a:rPr lang="de-DE" sz="1000" b="1" i="0" baseline="30000">
                    <a:effectLst/>
                  </a:rPr>
                  <a:t>0.33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17922584"/>
        <c:crosses val="autoZero"/>
        <c:crossBetween val="midCat"/>
      </c:valAx>
      <c:valAx>
        <c:axId val="-2017922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M</a:t>
                </a:r>
                <a:r>
                  <a:rPr lang="de-DE" sz="1000" b="1" i="0" baseline="-25000">
                    <a:effectLst/>
                  </a:rPr>
                  <a:t>muscle</a:t>
                </a:r>
                <a:r>
                  <a:rPr lang="de-DE" sz="1000" b="1" i="0" baseline="0">
                    <a:effectLst/>
                  </a:rPr>
                  <a:t>*cos(θ)/M</a:t>
                </a:r>
                <a:r>
                  <a:rPr lang="de-DE" sz="1000" b="1" i="0" baseline="-25000">
                    <a:effectLst/>
                  </a:rPr>
                  <a:t>body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183587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CFL</c:v>
          </c:tx>
          <c:spPr>
            <a:ln w="47625">
              <a:noFill/>
            </a:ln>
          </c:spPr>
          <c:yVal>
            <c:numRef>
              <c:f>Saurian_muscle_architecture!$K$393:$K$399</c:f>
              <c:numCache>
                <c:formatCode>General</c:formatCode>
                <c:ptCount val="7"/>
                <c:pt idx="0">
                  <c:v>1.8636842105263157E-2</c:v>
                </c:pt>
                <c:pt idx="1">
                  <c:v>7.8766013409427692E-3</c:v>
                </c:pt>
                <c:pt idx="2">
                  <c:v>1.5658703066533299E-2</c:v>
                </c:pt>
                <c:pt idx="3">
                  <c:v>9.7449520994422906E-3</c:v>
                </c:pt>
                <c:pt idx="4">
                  <c:v>7.7746237262817618E-3</c:v>
                </c:pt>
                <c:pt idx="5">
                  <c:v>1.2024581540416034E-2</c:v>
                </c:pt>
                <c:pt idx="6">
                  <c:v>1.6671567567567568E-2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8C-434E-8D1F-B79375057BC4}"/>
            </c:ext>
          </c:extLst>
        </c:ser>
        <c:ser>
          <c:idx val="3"/>
          <c:order val="1"/>
          <c:tx>
            <c:v>Varanus CFEML</c:v>
          </c:tx>
          <c:spPr>
            <a:ln w="47625">
              <a:noFill/>
            </a:ln>
          </c:spPr>
          <c:yVal>
            <c:numRef>
              <c:f>Saurian_muscle_architecture!$K$400:$K$408</c:f>
              <c:numCache>
                <c:formatCode>General</c:formatCode>
                <c:ptCount val="9"/>
                <c:pt idx="0">
                  <c:v>1.0009999999999998E-2</c:v>
                </c:pt>
                <c:pt idx="1">
                  <c:v>8.2799999999999992E-3</c:v>
                </c:pt>
                <c:pt idx="2">
                  <c:v>9.4600000000000014E-3</c:v>
                </c:pt>
                <c:pt idx="3">
                  <c:v>2.0323569820110219E-2</c:v>
                </c:pt>
                <c:pt idx="4">
                  <c:v>1.0523557385013552E-2</c:v>
                </c:pt>
                <c:pt idx="5">
                  <c:v>1.605080921027046E-2</c:v>
                </c:pt>
                <c:pt idx="6">
                  <c:v>1.1081392346284063E-2</c:v>
                </c:pt>
                <c:pt idx="7">
                  <c:v>2.7208810755911979E-2</c:v>
                </c:pt>
                <c:pt idx="8">
                  <c:v>1.0925758854976188E-2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8C-434E-8D1F-B79375057BC4}"/>
            </c:ext>
          </c:extLst>
        </c:ser>
        <c:ser>
          <c:idx val="2"/>
          <c:order val="2"/>
          <c:tx>
            <c:v>Geckos CFL</c:v>
          </c:tx>
          <c:spPr>
            <a:ln w="47625">
              <a:noFill/>
            </a:ln>
          </c:spPr>
          <c:yVal>
            <c:numRef>
              <c:f>Saurian_muscle_architecture!$K$409:$K$412</c:f>
              <c:numCache>
                <c:formatCode>General</c:formatCode>
                <c:ptCount val="4"/>
                <c:pt idx="0">
                  <c:v>5.3919851653445967E-3</c:v>
                </c:pt>
                <c:pt idx="1">
                  <c:v>6.3039454456892347E-3</c:v>
                </c:pt>
                <c:pt idx="2">
                  <c:v>1.7491228070175438E-3</c:v>
                </c:pt>
                <c:pt idx="3">
                  <c:v>1.7388781431334622E-3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C8C-434E-8D1F-B79375057BC4}"/>
            </c:ext>
          </c:extLst>
        </c:ser>
        <c:ser>
          <c:idx val="1"/>
          <c:order val="3"/>
          <c:tx>
            <c:v>Euparkeria CFL</c:v>
          </c:tx>
          <c:spPr>
            <a:ln w="47625">
              <a:noFill/>
            </a:ln>
          </c:spPr>
          <c:yVal>
            <c:numRef>
              <c:f>Saurian_muscle_architecture!$K$413</c:f>
              <c:numCache>
                <c:formatCode>General</c:formatCode>
                <c:ptCount val="1"/>
                <c:pt idx="0">
                  <c:v>2.5335381099855555E-2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C8C-434E-8D1F-B79375057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3289768"/>
        <c:axId val="2073292904"/>
      </c:scatterChart>
      <c:valAx>
        <c:axId val="2073289768"/>
        <c:scaling>
          <c:orientation val="minMax"/>
        </c:scaling>
        <c:delete val="0"/>
        <c:axPos val="b"/>
        <c:majorTickMark val="out"/>
        <c:minorTickMark val="none"/>
        <c:tickLblPos val="nextTo"/>
        <c:crossAx val="2073292904"/>
        <c:crosses val="autoZero"/>
        <c:crossBetween val="midCat"/>
      </c:valAx>
      <c:valAx>
        <c:axId val="2073292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32897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FTI 1</c:v>
          </c:tx>
          <c:spPr>
            <a:ln w="47625">
              <a:noFill/>
            </a:ln>
          </c:spPr>
          <c:xVal>
            <c:numRef>
              <c:f>Saurian_muscle_architecture!$M$337:$M$343</c:f>
              <c:numCache>
                <c:formatCode>General</c:formatCode>
                <c:ptCount val="7"/>
                <c:pt idx="0">
                  <c:v>3.4247014386230221E-2</c:v>
                </c:pt>
                <c:pt idx="1">
                  <c:v>2.6049405258064116E-2</c:v>
                </c:pt>
                <c:pt idx="2">
                  <c:v>3.6129668068775468E-2</c:v>
                </c:pt>
                <c:pt idx="3">
                  <c:v>5.3468950389892321E-2</c:v>
                </c:pt>
                <c:pt idx="4">
                  <c:v>3.5986213073321741E-2</c:v>
                </c:pt>
                <c:pt idx="5">
                  <c:v>4.70353560079943E-2</c:v>
                </c:pt>
                <c:pt idx="6">
                  <c:v>4.3100430419225066E-2</c:v>
                </c:pt>
              </c:numCache>
            </c:numRef>
          </c:xVal>
          <c:yVal>
            <c:numRef>
              <c:f>Saurian_muscle_architecture!$K$337:$K$343</c:f>
              <c:numCache>
                <c:formatCode>General</c:formatCode>
                <c:ptCount val="7"/>
                <c:pt idx="0">
                  <c:v>1.7017543859649124E-4</c:v>
                </c:pt>
                <c:pt idx="1">
                  <c:v>4.2114751082989192E-4</c:v>
                </c:pt>
                <c:pt idx="2">
                  <c:v>2.773650321941555E-4</c:v>
                </c:pt>
                <c:pt idx="3">
                  <c:v>3.3537906137184116E-4</c:v>
                </c:pt>
                <c:pt idx="4">
                  <c:v>1.618705035971223E-4</c:v>
                </c:pt>
                <c:pt idx="5">
                  <c:v>4.0883116883116884E-4</c:v>
                </c:pt>
                <c:pt idx="6">
                  <c:v>2.1180628474329712E-4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CD-7A4F-AA2E-C6C082935C0B}"/>
            </c:ext>
          </c:extLst>
        </c:ser>
        <c:ser>
          <c:idx val="3"/>
          <c:order val="1"/>
          <c:tx>
            <c:v>Varanus FTI (S) * 0.5</c:v>
          </c:tx>
          <c:spPr>
            <a:ln w="47625">
              <a:noFill/>
            </a:ln>
          </c:spPr>
          <c:xVal>
            <c:numRef>
              <c:f>Saurian_muscle_architecture!$M$344:$M$349</c:f>
              <c:numCache>
                <c:formatCode>General</c:formatCode>
                <c:ptCount val="6"/>
                <c:pt idx="0">
                  <c:v>5.969E-2</c:v>
                </c:pt>
                <c:pt idx="1">
                  <c:v>4.5949999999999998E-2</c:v>
                </c:pt>
                <c:pt idx="2">
                  <c:v>5.4289999999999998E-2</c:v>
                </c:pt>
                <c:pt idx="3">
                  <c:v>4.1390000000000003E-2</c:v>
                </c:pt>
                <c:pt idx="4">
                  <c:v>4.0700000000000007E-2</c:v>
                </c:pt>
                <c:pt idx="5">
                  <c:v>4.8700000000000007E-2</c:v>
                </c:pt>
              </c:numCache>
            </c:numRef>
          </c:xVal>
          <c:yVal>
            <c:numRef>
              <c:f>Saurian_muscle_architecture!$N$344:$N$349</c:f>
              <c:numCache>
                <c:formatCode>0.000000</c:formatCode>
                <c:ptCount val="6"/>
                <c:pt idx="0">
                  <c:v>7.3999999999999999E-4</c:v>
                </c:pt>
                <c:pt idx="1">
                  <c:v>1.2199999999999997E-3</c:v>
                </c:pt>
                <c:pt idx="2">
                  <c:v>1.255E-3</c:v>
                </c:pt>
                <c:pt idx="3">
                  <c:v>5.4000000000000001E-4</c:v>
                </c:pt>
                <c:pt idx="4">
                  <c:v>8.0000000000000004E-4</c:v>
                </c:pt>
                <c:pt idx="5">
                  <c:v>1.6750000000000001E-3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CD-7A4F-AA2E-C6C082935C0B}"/>
            </c:ext>
          </c:extLst>
        </c:ser>
        <c:ser>
          <c:idx val="2"/>
          <c:order val="2"/>
          <c:tx>
            <c:v>Gecko FTIA</c:v>
          </c:tx>
          <c:spPr>
            <a:ln w="47625">
              <a:noFill/>
            </a:ln>
          </c:spPr>
          <c:xVal>
            <c:numRef>
              <c:f>Saurian_muscle_architecture!$M$350:$M$353</c:f>
              <c:numCache>
                <c:formatCode>General</c:formatCode>
                <c:ptCount val="4"/>
                <c:pt idx="0">
                  <c:v>2.0964338824550767E-2</c:v>
                </c:pt>
                <c:pt idx="1">
                  <c:v>2.3207373991043761E-2</c:v>
                </c:pt>
                <c:pt idx="2">
                  <c:v>2.0028689050625902E-2</c:v>
                </c:pt>
                <c:pt idx="3">
                  <c:v>2.092078773918743E-2</c:v>
                </c:pt>
              </c:numCache>
            </c:numRef>
          </c:xVal>
          <c:yVal>
            <c:numRef>
              <c:f>Saurian_muscle_architecture!$K$350:$K$353</c:f>
              <c:numCache>
                <c:formatCode>General</c:formatCode>
                <c:ptCount val="4"/>
                <c:pt idx="0">
                  <c:v>4.4679169259688028E-4</c:v>
                </c:pt>
                <c:pt idx="1">
                  <c:v>7.4798208577765745E-4</c:v>
                </c:pt>
                <c:pt idx="2">
                  <c:v>1.1557217781213063E-3</c:v>
                </c:pt>
                <c:pt idx="3">
                  <c:v>1.1825514174630372E-3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CD-7A4F-AA2E-C6C082935C0B}"/>
            </c:ext>
          </c:extLst>
        </c:ser>
        <c:ser>
          <c:idx val="1"/>
          <c:order val="3"/>
          <c:tx>
            <c:v>Euparkeria FTI 1</c:v>
          </c:tx>
          <c:spPr>
            <a:ln w="4762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Saurian_muscle_architecture!$K$354</c:f>
              <c:numCache>
                <c:formatCode>General</c:formatCode>
                <c:ptCount val="1"/>
                <c:pt idx="0">
                  <c:v>2.4281105843462839E-3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5CD-7A4F-AA2E-C6C082935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6569624"/>
        <c:axId val="-2020643992"/>
      </c:scatterChart>
      <c:valAx>
        <c:axId val="-2016569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L</a:t>
                </a:r>
                <a:r>
                  <a:rPr lang="de-DE" sz="1000" b="1" i="0" baseline="-25000">
                    <a:effectLst/>
                  </a:rPr>
                  <a:t>o</a:t>
                </a:r>
                <a:r>
                  <a:rPr lang="de-DE" sz="1000" b="1" i="0" baseline="0">
                    <a:effectLst/>
                  </a:rPr>
                  <a:t>/M</a:t>
                </a:r>
                <a:r>
                  <a:rPr lang="de-DE" sz="1000" b="1" i="0" baseline="-25000">
                    <a:effectLst/>
                  </a:rPr>
                  <a:t>body</a:t>
                </a:r>
                <a:r>
                  <a:rPr lang="de-DE" sz="1000" b="1" i="0" baseline="30000">
                    <a:effectLst/>
                  </a:rPr>
                  <a:t>0.33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20643992"/>
        <c:crosses val="autoZero"/>
        <c:crossBetween val="midCat"/>
      </c:valAx>
      <c:valAx>
        <c:axId val="-2020643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M</a:t>
                </a:r>
                <a:r>
                  <a:rPr lang="de-DE" sz="1000" b="1" i="0" baseline="-25000">
                    <a:effectLst/>
                  </a:rPr>
                  <a:t>muscle</a:t>
                </a:r>
                <a:r>
                  <a:rPr lang="de-DE" sz="1000" b="1" i="0" baseline="0">
                    <a:effectLst/>
                  </a:rPr>
                  <a:t>*cos(θ)/M</a:t>
                </a:r>
                <a:r>
                  <a:rPr lang="de-DE" sz="1000" b="1" i="0" baseline="-25000">
                    <a:effectLst/>
                  </a:rPr>
                  <a:t>body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165696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FTI 1</c:v>
          </c:tx>
          <c:spPr>
            <a:ln w="47625">
              <a:noFill/>
            </a:ln>
          </c:spPr>
          <c:yVal>
            <c:numRef>
              <c:f>Saurian_muscle_architecture!$K$337:$K$343</c:f>
              <c:numCache>
                <c:formatCode>General</c:formatCode>
                <c:ptCount val="7"/>
                <c:pt idx="0">
                  <c:v>1.7017543859649124E-4</c:v>
                </c:pt>
                <c:pt idx="1">
                  <c:v>4.2114751082989192E-4</c:v>
                </c:pt>
                <c:pt idx="2">
                  <c:v>2.773650321941555E-4</c:v>
                </c:pt>
                <c:pt idx="3">
                  <c:v>3.3537906137184116E-4</c:v>
                </c:pt>
                <c:pt idx="4">
                  <c:v>1.618705035971223E-4</c:v>
                </c:pt>
                <c:pt idx="5">
                  <c:v>4.0883116883116884E-4</c:v>
                </c:pt>
                <c:pt idx="6">
                  <c:v>2.1180628474329712E-4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7D-D043-967D-740A29BAA9B8}"/>
            </c:ext>
          </c:extLst>
        </c:ser>
        <c:ser>
          <c:idx val="3"/>
          <c:order val="1"/>
          <c:tx>
            <c:v>Varanus FTI (S)</c:v>
          </c:tx>
          <c:spPr>
            <a:ln w="47625">
              <a:noFill/>
            </a:ln>
          </c:spPr>
          <c:yVal>
            <c:numRef>
              <c:f>Saurian_muscle_architecture!$K$344:$K$349</c:f>
              <c:numCache>
                <c:formatCode>0.000000</c:formatCode>
                <c:ptCount val="6"/>
                <c:pt idx="0">
                  <c:v>1.4798218518716445E-3</c:v>
                </c:pt>
                <c:pt idx="1">
                  <c:v>2.439445067046863E-3</c:v>
                </c:pt>
                <c:pt idx="2">
                  <c:v>2.5096593309924847E-3</c:v>
                </c:pt>
                <c:pt idx="3">
                  <c:v>1.0799268195192562E-3</c:v>
                </c:pt>
                <c:pt idx="4">
                  <c:v>1.5999879898030923E-3</c:v>
                </c:pt>
                <c:pt idx="5">
                  <c:v>3.3499112762806365E-3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37D-D043-967D-740A29BAA9B8}"/>
            </c:ext>
          </c:extLst>
        </c:ser>
        <c:ser>
          <c:idx val="2"/>
          <c:order val="2"/>
          <c:tx>
            <c:v>Gecko FTIA</c:v>
          </c:tx>
          <c:spPr>
            <a:ln w="47625">
              <a:noFill/>
            </a:ln>
          </c:spPr>
          <c:yVal>
            <c:numRef>
              <c:f>Saurian_muscle_architecture!$K$350:$K$353</c:f>
              <c:numCache>
                <c:formatCode>General</c:formatCode>
                <c:ptCount val="4"/>
                <c:pt idx="0">
                  <c:v>4.4679169259688028E-4</c:v>
                </c:pt>
                <c:pt idx="1">
                  <c:v>7.4798208577765745E-4</c:v>
                </c:pt>
                <c:pt idx="2">
                  <c:v>1.1557217781213063E-3</c:v>
                </c:pt>
                <c:pt idx="3">
                  <c:v>1.1825514174630372E-3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37D-D043-967D-740A29BAA9B8}"/>
            </c:ext>
          </c:extLst>
        </c:ser>
        <c:ser>
          <c:idx val="1"/>
          <c:order val="3"/>
          <c:tx>
            <c:v>Euparkeria FTI 1</c:v>
          </c:tx>
          <c:spPr>
            <a:ln w="47625">
              <a:noFill/>
            </a:ln>
          </c:spPr>
          <c:yVal>
            <c:numRef>
              <c:f>Saurian_muscle_architecture!$K$354</c:f>
              <c:numCache>
                <c:formatCode>General</c:formatCode>
                <c:ptCount val="1"/>
                <c:pt idx="0">
                  <c:v>2.4281105843462839E-3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37D-D043-967D-740A29BAA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8783896"/>
        <c:axId val="-2019445464"/>
      </c:scatterChart>
      <c:valAx>
        <c:axId val="-2018783896"/>
        <c:scaling>
          <c:orientation val="minMax"/>
        </c:scaling>
        <c:delete val="0"/>
        <c:axPos val="b"/>
        <c:majorTickMark val="out"/>
        <c:minorTickMark val="none"/>
        <c:tickLblPos val="nextTo"/>
        <c:crossAx val="-2019445464"/>
        <c:crosses val="autoZero"/>
        <c:crossBetween val="midCat"/>
      </c:valAx>
      <c:valAx>
        <c:axId val="-2019445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187838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FTI 2</c:v>
          </c:tx>
          <c:spPr>
            <a:ln w="47625">
              <a:noFill/>
            </a:ln>
          </c:spPr>
          <c:yVal>
            <c:numRef>
              <c:f>Saurian_muscle_architecture!$K$357:$K$363</c:f>
              <c:numCache>
                <c:formatCode>General</c:formatCode>
                <c:ptCount val="7"/>
                <c:pt idx="0">
                  <c:v>1.3233871559312689E-3</c:v>
                </c:pt>
                <c:pt idx="1">
                  <c:v>1.3943333333333331E-3</c:v>
                </c:pt>
                <c:pt idx="2">
                  <c:v>1.5205547300643882E-3</c:v>
                </c:pt>
                <c:pt idx="3">
                  <c:v>1.3032490974729243E-3</c:v>
                </c:pt>
                <c:pt idx="4">
                  <c:v>6.1582733812949641E-4</c:v>
                </c:pt>
                <c:pt idx="5">
                  <c:v>7.7181818181818178E-4</c:v>
                </c:pt>
                <c:pt idx="6">
                  <c:v>8.5845945945945941E-4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25-9843-81F6-0D5785647060}"/>
            </c:ext>
          </c:extLst>
        </c:ser>
        <c:ser>
          <c:idx val="3"/>
          <c:order val="1"/>
          <c:tx>
            <c:v>Varanus FTI (S)?</c:v>
          </c:tx>
          <c:spPr>
            <a:ln w="47625">
              <a:noFill/>
            </a:ln>
          </c:spPr>
          <c:yVal>
            <c:numRef>
              <c:f>Saurian_muscle_architecture!$K$364:$K$369</c:f>
              <c:numCache>
                <c:formatCode>0.000000</c:formatCode>
                <c:ptCount val="6"/>
                <c:pt idx="0">
                  <c:v>1.4798218518716445E-3</c:v>
                </c:pt>
                <c:pt idx="1">
                  <c:v>2.439445067046863E-3</c:v>
                </c:pt>
                <c:pt idx="2">
                  <c:v>2.5096593309924847E-3</c:v>
                </c:pt>
                <c:pt idx="3">
                  <c:v>1.0799268195192562E-3</c:v>
                </c:pt>
                <c:pt idx="4">
                  <c:v>1.5999879898030923E-3</c:v>
                </c:pt>
                <c:pt idx="5">
                  <c:v>3.3499112762806365E-3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C25-9843-81F6-0D5785647060}"/>
            </c:ext>
          </c:extLst>
        </c:ser>
        <c:ser>
          <c:idx val="2"/>
          <c:order val="2"/>
          <c:tx>
            <c:v>Gecko FTEA</c:v>
          </c:tx>
          <c:spPr>
            <a:ln w="47625">
              <a:noFill/>
            </a:ln>
          </c:spPr>
          <c:yVal>
            <c:numRef>
              <c:f>Saurian_muscle_architecture!$K$370:$K$371</c:f>
              <c:numCache>
                <c:formatCode>General</c:formatCode>
                <c:ptCount val="2"/>
                <c:pt idx="0">
                  <c:v>8.4644481777727072E-4</c:v>
                </c:pt>
                <c:pt idx="1">
                  <c:v>1.271537311516441E-3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C25-9843-81F6-0D5785647060}"/>
            </c:ext>
          </c:extLst>
        </c:ser>
        <c:ser>
          <c:idx val="1"/>
          <c:order val="3"/>
          <c:tx>
            <c:v>Euparkeria FTI 2</c:v>
          </c:tx>
          <c:spPr>
            <a:ln w="47625">
              <a:noFill/>
            </a:ln>
          </c:spPr>
          <c:yVal>
            <c:numRef>
              <c:f>Saurian_muscle_architecture!$K$372</c:f>
              <c:numCache>
                <c:formatCode>General</c:formatCode>
                <c:ptCount val="1"/>
                <c:pt idx="0">
                  <c:v>2.6330635612857828E-3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C25-9843-81F6-0D5785647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9505544"/>
        <c:axId val="-2019502408"/>
      </c:scatterChart>
      <c:valAx>
        <c:axId val="-2019505544"/>
        <c:scaling>
          <c:orientation val="minMax"/>
        </c:scaling>
        <c:delete val="0"/>
        <c:axPos val="b"/>
        <c:majorTickMark val="out"/>
        <c:minorTickMark val="none"/>
        <c:tickLblPos val="nextTo"/>
        <c:crossAx val="-2019502408"/>
        <c:crosses val="autoZero"/>
        <c:crossBetween val="midCat"/>
      </c:valAx>
      <c:valAx>
        <c:axId val="-2019502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195055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FMTE</c:v>
          </c:tx>
          <c:spPr>
            <a:ln w="47625">
              <a:noFill/>
            </a:ln>
          </c:spPr>
          <c:yVal>
            <c:numRef>
              <c:f>(Saurian_muscle_architecture!$K$199,Saurian_muscle_architecture!$K$202,Saurian_muscle_architecture!$K$205,Saurian_muscle_architecture!$K$208,Saurian_muscle_architecture!$K$211,Saurian_muscle_architecture!$K$214,Saurian_muscle_architecture!$K$217)</c:f>
              <c:numCache>
                <c:formatCode>General</c:formatCode>
                <c:ptCount val="7"/>
                <c:pt idx="0">
                  <c:v>4.4885839675132158E-4</c:v>
                </c:pt>
                <c:pt idx="1">
                  <c:v>3.1628973844603829E-4</c:v>
                </c:pt>
                <c:pt idx="2">
                  <c:v>3.9623576027736503E-4</c:v>
                </c:pt>
                <c:pt idx="3">
                  <c:v>3.6449574331405571E-4</c:v>
                </c:pt>
                <c:pt idx="4">
                  <c:v>2.8965762758537464E-4</c:v>
                </c:pt>
                <c:pt idx="5">
                  <c:v>4.168831168831169E-4</c:v>
                </c:pt>
                <c:pt idx="6">
                  <c:v>4.2361064156653454E-4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A7-D540-88FF-B67F42F0F9BE}"/>
            </c:ext>
          </c:extLst>
        </c:ser>
        <c:ser>
          <c:idx val="1"/>
          <c:order val="1"/>
          <c:tx>
            <c:v>Croc FMTI</c:v>
          </c:tx>
          <c:spPr>
            <a:ln w="47625">
              <a:noFill/>
            </a:ln>
          </c:spPr>
          <c:yVal>
            <c:numRef>
              <c:f>(Saurian_muscle_architecture!$K$200,Saurian_muscle_architecture!$K$203,Saurian_muscle_architecture!$K$206,Saurian_muscle_architecture!$K$209,Saurian_muscle_architecture!$K$212,Saurian_muscle_architecture!$K$215,Saurian_muscle_architecture!$K$218)</c:f>
              <c:numCache>
                <c:formatCode>General</c:formatCode>
                <c:ptCount val="7"/>
                <c:pt idx="0">
                  <c:v>1.5749634810197084E-3</c:v>
                </c:pt>
                <c:pt idx="1">
                  <c:v>1.2560331345764543E-3</c:v>
                </c:pt>
                <c:pt idx="2">
                  <c:v>1.7704135731666918E-3</c:v>
                </c:pt>
                <c:pt idx="3">
                  <c:v>1.6700468068076291E-3</c:v>
                </c:pt>
                <c:pt idx="4">
                  <c:v>1.3307406792914041E-3</c:v>
                </c:pt>
                <c:pt idx="5">
                  <c:v>2.2516883116883114E-3</c:v>
                </c:pt>
                <c:pt idx="6">
                  <c:v>1.4674066562241229E-3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A7-D540-88FF-B67F42F0F9BE}"/>
            </c:ext>
          </c:extLst>
        </c:ser>
        <c:ser>
          <c:idx val="3"/>
          <c:order val="2"/>
          <c:tx>
            <c:v>Varanus FTIB</c:v>
          </c:tx>
          <c:spPr>
            <a:ln w="47625">
              <a:noFill/>
            </a:ln>
          </c:spPr>
          <c:yVal>
            <c:numRef>
              <c:f>Saurian_muscle_architecture!$K$220:$K$225</c:f>
              <c:numCache>
                <c:formatCode>General</c:formatCode>
                <c:ptCount val="6"/>
                <c:pt idx="0">
                  <c:v>1.0576223416408363E-3</c:v>
                </c:pt>
                <c:pt idx="1">
                  <c:v>9.6004830598484111E-4</c:v>
                </c:pt>
                <c:pt idx="2">
                  <c:v>1.1879049262446737E-3</c:v>
                </c:pt>
                <c:pt idx="3">
                  <c:v>4.9803708901653145E-4</c:v>
                </c:pt>
                <c:pt idx="4">
                  <c:v>5.5753178364422492E-4</c:v>
                </c:pt>
                <c:pt idx="5">
                  <c:v>1.0309623518562861E-3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FA7-D540-88FF-B67F42F0F9BE}"/>
            </c:ext>
          </c:extLst>
        </c:ser>
        <c:ser>
          <c:idx val="2"/>
          <c:order val="3"/>
          <c:tx>
            <c:v>Gecko FETI</c:v>
          </c:tx>
          <c:spPr>
            <a:ln w="47625">
              <a:noFill/>
            </a:ln>
          </c:spPr>
          <c:yVal>
            <c:numRef>
              <c:f>Saurian_muscle_architecture!$K$226:$K$229</c:f>
              <c:numCache>
                <c:formatCode>General</c:formatCode>
                <c:ptCount val="4"/>
                <c:pt idx="0">
                  <c:v>1.5463067889152156E-3</c:v>
                </c:pt>
                <c:pt idx="1">
                  <c:v>1.7817827569410617E-3</c:v>
                </c:pt>
                <c:pt idx="2">
                  <c:v>1.5964912280701754E-3</c:v>
                </c:pt>
                <c:pt idx="3">
                  <c:v>1.7388781431334622E-3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FA7-D540-88FF-B67F42F0F9BE}"/>
            </c:ext>
          </c:extLst>
        </c:ser>
        <c:ser>
          <c:idx val="4"/>
          <c:order val="4"/>
          <c:tx>
            <c:v>Euparkeria FMTE</c:v>
          </c:tx>
          <c:spPr>
            <a:ln w="47625">
              <a:noFill/>
            </a:ln>
          </c:spPr>
          <c:yVal>
            <c:numRef>
              <c:f>Saurian_muscle_architecture!$K$230</c:f>
              <c:numCache>
                <c:formatCode>General</c:formatCode>
                <c:ptCount val="1"/>
                <c:pt idx="0">
                  <c:v>1.0778563647201879E-3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FA7-D540-88FF-B67F42F0F9BE}"/>
            </c:ext>
          </c:extLst>
        </c:ser>
        <c:ser>
          <c:idx val="5"/>
          <c:order val="5"/>
          <c:tx>
            <c:v>Euparkeria FMTI</c:v>
          </c:tx>
          <c:spPr>
            <a:ln w="47625">
              <a:noFill/>
            </a:ln>
          </c:spPr>
          <c:yVal>
            <c:numRef>
              <c:f>Saurian_muscle_architecture!$K$231</c:f>
              <c:numCache>
                <c:formatCode>General</c:formatCode>
                <c:ptCount val="1"/>
                <c:pt idx="0">
                  <c:v>2.1682808214094789E-3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FA7-D540-88FF-B67F42F0F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9462760"/>
        <c:axId val="-2019459608"/>
      </c:scatterChart>
      <c:valAx>
        <c:axId val="-201946276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19459608"/>
        <c:crosses val="autoZero"/>
        <c:crossBetween val="midCat"/>
      </c:valAx>
      <c:valAx>
        <c:axId val="-2019459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194627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FMT sum</c:v>
          </c:tx>
          <c:spPr>
            <a:ln w="47625">
              <a:noFill/>
            </a:ln>
          </c:spPr>
          <c:xVal>
            <c:numRef>
              <c:f>(Saurian_muscle_architecture!$M$201,Saurian_muscle_architecture!$M$204,Saurian_muscle_architecture!$M$207,Saurian_muscle_architecture!$M$210,Saurian_muscle_architecture!$M$213,Saurian_muscle_architecture!$M$216,Saurian_muscle_architecture!$M$219)</c:f>
              <c:numCache>
                <c:formatCode>General</c:formatCode>
                <c:ptCount val="7"/>
                <c:pt idx="0">
                  <c:v>1.0860561579767516E-2</c:v>
                </c:pt>
                <c:pt idx="1">
                  <c:v>9.0957188338975439E-3</c:v>
                </c:pt>
                <c:pt idx="2">
                  <c:v>2.2887068992232507E-3</c:v>
                </c:pt>
                <c:pt idx="3">
                  <c:v>1.7594626487673942E-2</c:v>
                </c:pt>
                <c:pt idx="4">
                  <c:v>1.2333669556583157E-2</c:v>
                </c:pt>
                <c:pt idx="5">
                  <c:v>1.8814142403197721E-2</c:v>
                </c:pt>
                <c:pt idx="6">
                  <c:v>1.6214814080651622E-2</c:v>
                </c:pt>
              </c:numCache>
            </c:numRef>
          </c:xVal>
          <c:yVal>
            <c:numRef>
              <c:f>(Saurian_muscle_architecture!$K$201,Saurian_muscle_architecture!$K$204,Saurian_muscle_architecture!$K$207,Saurian_muscle_architecture!$K$210,Saurian_muscle_architecture!$K$213,Saurian_muscle_architecture!$K$216,Saurian_muscle_architecture!$K$219)</c:f>
              <c:numCache>
                <c:formatCode>General</c:formatCode>
                <c:ptCount val="7"/>
                <c:pt idx="0">
                  <c:v>2.0401967664489696E-3</c:v>
                </c:pt>
                <c:pt idx="1">
                  <c:v>1.6358818836132605E-3</c:v>
                </c:pt>
                <c:pt idx="2">
                  <c:v>2.2270624742851981E-3</c:v>
                </c:pt>
                <c:pt idx="3">
                  <c:v>2.0191950030343814E-3</c:v>
                </c:pt>
                <c:pt idx="4">
                  <c:v>1.6157636184224871E-3</c:v>
                </c:pt>
                <c:pt idx="5">
                  <c:v>2.6685714285714286E-3</c:v>
                </c:pt>
                <c:pt idx="6">
                  <c:v>1.9358852906803433E-3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90-D245-B38C-C98C4B8FFFA7}"/>
            </c:ext>
          </c:extLst>
        </c:ser>
        <c:ser>
          <c:idx val="3"/>
          <c:order val="1"/>
          <c:tx>
            <c:v>Varanus FTIB</c:v>
          </c:tx>
          <c:spPr>
            <a:ln w="47625">
              <a:noFill/>
            </a:ln>
          </c:spPr>
          <c:xVal>
            <c:numRef>
              <c:f>Saurian_muscle_architecture!$M$220:$M$225</c:f>
              <c:numCache>
                <c:formatCode>General</c:formatCode>
                <c:ptCount val="6"/>
                <c:pt idx="0">
                  <c:v>1.9360000000000002E-2</c:v>
                </c:pt>
                <c:pt idx="1">
                  <c:v>1.9270000000000002E-2</c:v>
                </c:pt>
                <c:pt idx="2">
                  <c:v>2.2970000000000001E-2</c:v>
                </c:pt>
                <c:pt idx="3">
                  <c:v>1.8020000000000001E-2</c:v>
                </c:pt>
                <c:pt idx="4">
                  <c:v>2.0300000000000002E-2</c:v>
                </c:pt>
                <c:pt idx="5">
                  <c:v>1.7390000000000003E-2</c:v>
                </c:pt>
              </c:numCache>
            </c:numRef>
          </c:xVal>
          <c:yVal>
            <c:numRef>
              <c:f>Saurian_muscle_architecture!$K$220:$K$225</c:f>
              <c:numCache>
                <c:formatCode>General</c:formatCode>
                <c:ptCount val="6"/>
                <c:pt idx="0">
                  <c:v>1.0576223416408363E-3</c:v>
                </c:pt>
                <c:pt idx="1">
                  <c:v>9.6004830598484111E-4</c:v>
                </c:pt>
                <c:pt idx="2">
                  <c:v>1.1879049262446737E-3</c:v>
                </c:pt>
                <c:pt idx="3">
                  <c:v>4.9803708901653145E-4</c:v>
                </c:pt>
                <c:pt idx="4">
                  <c:v>5.5753178364422492E-4</c:v>
                </c:pt>
                <c:pt idx="5">
                  <c:v>1.0309623518562861E-3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D90-D245-B38C-C98C4B8FFFA7}"/>
            </c:ext>
          </c:extLst>
        </c:ser>
        <c:ser>
          <c:idx val="2"/>
          <c:order val="2"/>
          <c:tx>
            <c:v>Geckos FETI</c:v>
          </c:tx>
          <c:spPr>
            <a:ln w="47625">
              <a:noFill/>
            </a:ln>
          </c:spPr>
          <c:xVal>
            <c:numRef>
              <c:f>Saurian_muscle_architecture!$M$226:$M$229</c:f>
              <c:numCache>
                <c:formatCode>General</c:formatCode>
                <c:ptCount val="4"/>
                <c:pt idx="0">
                  <c:v>1.6123757192764689E-2</c:v>
                </c:pt>
                <c:pt idx="1">
                  <c:v>2.1344255739319636E-2</c:v>
                </c:pt>
                <c:pt idx="2">
                  <c:v>1.4796316287849949E-2</c:v>
                </c:pt>
                <c:pt idx="3">
                  <c:v>1.4674586343292315E-2</c:v>
                </c:pt>
              </c:numCache>
            </c:numRef>
          </c:xVal>
          <c:yVal>
            <c:numRef>
              <c:f>Saurian_muscle_architecture!$K$226:$K$229</c:f>
              <c:numCache>
                <c:formatCode>General</c:formatCode>
                <c:ptCount val="4"/>
                <c:pt idx="0">
                  <c:v>1.5463067889152156E-3</c:v>
                </c:pt>
                <c:pt idx="1">
                  <c:v>1.7817827569410617E-3</c:v>
                </c:pt>
                <c:pt idx="2">
                  <c:v>1.5964912280701754E-3</c:v>
                </c:pt>
                <c:pt idx="3">
                  <c:v>1.7388781431334622E-3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D90-D245-B38C-C98C4B8FFFA7}"/>
            </c:ext>
          </c:extLst>
        </c:ser>
        <c:ser>
          <c:idx val="1"/>
          <c:order val="3"/>
          <c:tx>
            <c:v>Euparkeria FMT sum</c:v>
          </c:tx>
          <c:spPr>
            <a:ln w="4762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Saurian_muscle_architecture!$K$232</c:f>
              <c:numCache>
                <c:formatCode>General</c:formatCode>
                <c:ptCount val="1"/>
                <c:pt idx="0">
                  <c:v>3.2461371861296669E-3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D90-D245-B38C-C98C4B8FF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8590088"/>
        <c:axId val="-2019067080"/>
      </c:scatterChart>
      <c:valAx>
        <c:axId val="-2018590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000" b="1" i="0" baseline="0">
                    <a:effectLst/>
                  </a:rPr>
                  <a:t>L</a:t>
                </a:r>
                <a:r>
                  <a:rPr lang="de-DE" sz="1000" b="1" i="0" baseline="-25000">
                    <a:effectLst/>
                  </a:rPr>
                  <a:t>o</a:t>
                </a:r>
                <a:r>
                  <a:rPr lang="de-DE" sz="1000" b="1" i="0" baseline="0">
                    <a:effectLst/>
                  </a:rPr>
                  <a:t>/M</a:t>
                </a:r>
                <a:r>
                  <a:rPr lang="de-DE" sz="1000" b="1" i="0" baseline="-25000">
                    <a:effectLst/>
                  </a:rPr>
                  <a:t>body</a:t>
                </a:r>
                <a:r>
                  <a:rPr lang="de-DE" sz="1000" b="1" i="0" baseline="30000">
                    <a:effectLst/>
                  </a:rPr>
                  <a:t>0.33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19067080"/>
        <c:crosses val="autoZero"/>
        <c:crossBetween val="midCat"/>
      </c:valAx>
      <c:valAx>
        <c:axId val="-2019067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M</a:t>
                </a:r>
                <a:r>
                  <a:rPr lang="de-DE" sz="1000" b="1" i="0" baseline="-25000">
                    <a:effectLst/>
                  </a:rPr>
                  <a:t>muscle</a:t>
                </a:r>
                <a:r>
                  <a:rPr lang="de-DE" sz="1000" b="1" i="0" baseline="0">
                    <a:effectLst/>
                  </a:rPr>
                  <a:t>*cos(θ)/M</a:t>
                </a:r>
                <a:r>
                  <a:rPr lang="de-DE" sz="1000" b="1" i="0" baseline="-25000">
                    <a:effectLst/>
                  </a:rPr>
                  <a:t>body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185900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PIFE1</c:v>
          </c:tx>
          <c:spPr>
            <a:ln w="47625">
              <a:noFill/>
            </a:ln>
          </c:spPr>
          <c:yVal>
            <c:numRef>
              <c:f>(Saurian_muscle_architecture!$K$14,Saurian_muscle_architecture!$K$18,Saurian_muscle_architecture!$K$22,Saurian_muscle_architecture!$K$26,Saurian_muscle_architecture!$K$30,Saurian_muscle_architecture!$K$34,Saurian_muscle_architecture!$K$38)</c:f>
              <c:numCache>
                <c:formatCode>General</c:formatCode>
                <c:ptCount val="7"/>
                <c:pt idx="0">
                  <c:v>1.3432748538011695E-3</c:v>
                </c:pt>
                <c:pt idx="1">
                  <c:v>9.6429798306718975E-4</c:v>
                </c:pt>
                <c:pt idx="2">
                  <c:v>1.0401188707280832E-3</c:v>
                </c:pt>
                <c:pt idx="3">
                  <c:v>8.7843779178076761E-4</c:v>
                </c:pt>
                <c:pt idx="4">
                  <c:v>1.618705035971223E-4</c:v>
                </c:pt>
                <c:pt idx="5">
                  <c:v>8.7558441558441551E-4</c:v>
                </c:pt>
                <c:pt idx="6">
                  <c:v>1.0925345035317168E-3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76-D241-8AA8-C5A4888B5B9C}"/>
            </c:ext>
          </c:extLst>
        </c:ser>
        <c:ser>
          <c:idx val="1"/>
          <c:order val="1"/>
          <c:tx>
            <c:v>Croc PIFE2</c:v>
          </c:tx>
          <c:spPr>
            <a:ln w="47625">
              <a:noFill/>
            </a:ln>
          </c:spPr>
          <c:yVal>
            <c:numRef>
              <c:f>(Saurian_muscle_architecture!$K$15,Saurian_muscle_architecture!$K$19,Saurian_muscle_architecture!$K$23,Saurian_muscle_architecture!$K$27,Saurian_muscle_architecture!$K$31,Saurian_muscle_architecture!$K$35,Saurian_muscle_architecture!$K$39)</c:f>
              <c:numCache>
                <c:formatCode>General</c:formatCode>
                <c:ptCount val="7"/>
                <c:pt idx="0">
                  <c:v>1.0925057917082772E-3</c:v>
                </c:pt>
                <c:pt idx="1">
                  <c:v>6.7704572035484167E-4</c:v>
                </c:pt>
                <c:pt idx="2">
                  <c:v>7.1322436849925708E-4</c:v>
                </c:pt>
                <c:pt idx="3">
                  <c:v>6.7509025270758125E-4</c:v>
                </c:pt>
                <c:pt idx="4">
                  <c:v>1.1741616924144454E-4</c:v>
                </c:pt>
                <c:pt idx="5">
                  <c:v>8.0051948051948051E-4</c:v>
                </c:pt>
                <c:pt idx="6">
                  <c:v>8.5502606102065321E-4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76-D241-8AA8-C5A4888B5B9C}"/>
            </c:ext>
          </c:extLst>
        </c:ser>
        <c:ser>
          <c:idx val="2"/>
          <c:order val="2"/>
          <c:tx>
            <c:v>Croc PIFE3</c:v>
          </c:tx>
          <c:spPr>
            <a:ln w="47625">
              <a:noFill/>
            </a:ln>
          </c:spPr>
          <c:yVal>
            <c:numRef>
              <c:f>(Saurian_muscle_architecture!$K$16,Saurian_muscle_architecture!$K$20,Saurian_muscle_architecture!$K$24,Saurian_muscle_architecture!$K$28,Saurian_muscle_architecture!$K$32,Saurian_muscle_architecture!$K$36,Saurian_muscle_architecture!$K$40)</c:f>
              <c:numCache>
                <c:formatCode>General</c:formatCode>
                <c:ptCount val="7"/>
                <c:pt idx="0">
                  <c:v>7.4215824414388461E-4</c:v>
                </c:pt>
                <c:pt idx="1">
                  <c:v>3.9170603607999893E-4</c:v>
                </c:pt>
                <c:pt idx="2">
                  <c:v>6.9836552748885582E-4</c:v>
                </c:pt>
                <c:pt idx="3">
                  <c:v>4.8916559217426249E-4</c:v>
                </c:pt>
                <c:pt idx="4">
                  <c:v>3.1296959552344747E-4</c:v>
                </c:pt>
                <c:pt idx="5">
                  <c:v>5.7830798009500821E-4</c:v>
                </c:pt>
                <c:pt idx="6">
                  <c:v>5.934663588601603E-4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F76-D241-8AA8-C5A4888B5B9C}"/>
            </c:ext>
          </c:extLst>
        </c:ser>
        <c:ser>
          <c:idx val="3"/>
          <c:order val="3"/>
          <c:tx>
            <c:v>Varanus PIF</c:v>
          </c:tx>
          <c:spPr>
            <a:ln w="47625">
              <a:noFill/>
            </a:ln>
          </c:spPr>
          <c:yVal>
            <c:numRef>
              <c:f>Saurian_muscle_architecture!$K$42:$K$47</c:f>
              <c:numCache>
                <c:formatCode>General</c:formatCode>
                <c:ptCount val="6"/>
                <c:pt idx="0">
                  <c:v>4.4751130220122334E-3</c:v>
                </c:pt>
                <c:pt idx="1">
                  <c:v>4.8655701374389522E-3</c:v>
                </c:pt>
                <c:pt idx="2">
                  <c:v>3.9069100480463937E-3</c:v>
                </c:pt>
                <c:pt idx="3">
                  <c:v>3.3064147425459567E-3</c:v>
                </c:pt>
                <c:pt idx="4">
                  <c:v>5.2133656510515419E-3</c:v>
                </c:pt>
                <c:pt idx="5">
                  <c:v>3.1396681538827E-3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F76-D241-8AA8-C5A4888B5B9C}"/>
            </c:ext>
          </c:extLst>
        </c:ser>
        <c:ser>
          <c:idx val="4"/>
          <c:order val="4"/>
          <c:tx>
            <c:v>Geckos PIFE</c:v>
          </c:tx>
          <c:spPr>
            <a:ln w="47625">
              <a:noFill/>
            </a:ln>
          </c:spPr>
          <c:yVal>
            <c:numRef>
              <c:f>Saurian_muscle_architecture!$K$48:$K$51</c:f>
              <c:numCache>
                <c:formatCode>General</c:formatCode>
                <c:ptCount val="4"/>
                <c:pt idx="0">
                  <c:v>1.8574224786236735E-3</c:v>
                </c:pt>
                <c:pt idx="1">
                  <c:v>2.657574281539211E-3</c:v>
                </c:pt>
                <c:pt idx="2">
                  <c:v>9.6842105263157891E-4</c:v>
                </c:pt>
                <c:pt idx="3">
                  <c:v>1.3152804642166344E-3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F76-D241-8AA8-C5A4888B5B9C}"/>
            </c:ext>
          </c:extLst>
        </c:ser>
        <c:ser>
          <c:idx val="5"/>
          <c:order val="5"/>
          <c:tx>
            <c:v>Euparkeria PIFE 1</c:v>
          </c:tx>
          <c:spPr>
            <a:ln w="47625">
              <a:noFill/>
            </a:ln>
          </c:spPr>
          <c:yVal>
            <c:numRef>
              <c:f>Saurian_muscle_architecture!$K$52</c:f>
              <c:numCache>
                <c:formatCode>General</c:formatCode>
                <c:ptCount val="1"/>
                <c:pt idx="0">
                  <c:v>6.9843706580793299E-4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F76-D241-8AA8-C5A4888B5B9C}"/>
            </c:ext>
          </c:extLst>
        </c:ser>
        <c:ser>
          <c:idx val="6"/>
          <c:order val="6"/>
          <c:tx>
            <c:v>Euparkeria PIFE 2</c:v>
          </c:tx>
          <c:spPr>
            <a:ln w="47625">
              <a:noFill/>
            </a:ln>
          </c:spPr>
          <c:yVal>
            <c:numRef>
              <c:f>Saurian_muscle_architecture!$K$53</c:f>
              <c:numCache>
                <c:formatCode>General</c:formatCode>
                <c:ptCount val="1"/>
                <c:pt idx="0">
                  <c:v>1.8338029373938306E-3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F76-D241-8AA8-C5A4888B5B9C}"/>
            </c:ext>
          </c:extLst>
        </c:ser>
        <c:ser>
          <c:idx val="7"/>
          <c:order val="7"/>
          <c:tx>
            <c:v>Euparkeria PIFE 3</c:v>
          </c:tx>
          <c:spPr>
            <a:ln w="47625">
              <a:noFill/>
            </a:ln>
          </c:spPr>
          <c:yVal>
            <c:numRef>
              <c:f>Saurian_muscle_architecture!$K$54</c:f>
              <c:numCache>
                <c:formatCode>General</c:formatCode>
                <c:ptCount val="1"/>
                <c:pt idx="0">
                  <c:v>9.4814538533996736E-4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F76-D241-8AA8-C5A4888B5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2851560"/>
        <c:axId val="-2112827512"/>
      </c:scatterChart>
      <c:valAx>
        <c:axId val="-211285156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2827512"/>
        <c:crosses val="autoZero"/>
        <c:crossBetween val="midCat"/>
      </c:valAx>
      <c:valAx>
        <c:axId val="-2112827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28515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PIFE sum</c:v>
          </c:tx>
          <c:spPr>
            <a:ln w="47625">
              <a:noFill/>
            </a:ln>
          </c:spPr>
          <c:xVal>
            <c:numRef>
              <c:f>(Saurian_muscle_architecture!$M$17,Saurian_muscle_architecture!$M$21,Saurian_muscle_architecture!$M$25,Saurian_muscle_architecture!$M$29,Saurian_muscle_architecture!$M$33,Saurian_muscle_architecture!$M$37,Saurian_muscle_architecture!$M$41)</c:f>
              <c:numCache>
                <c:formatCode>General</c:formatCode>
                <c:ptCount val="7"/>
                <c:pt idx="0">
                  <c:v>2.2748776160146145E-2</c:v>
                </c:pt>
                <c:pt idx="1">
                  <c:v>2.3084555075068992E-2</c:v>
                </c:pt>
                <c:pt idx="2">
                  <c:v>2.3441007777133649E-2</c:v>
                </c:pt>
                <c:pt idx="3">
                  <c:v>2.6879286935585455E-2</c:v>
                </c:pt>
                <c:pt idx="4">
                  <c:v>1.0840098601840807E-2</c:v>
                </c:pt>
                <c:pt idx="5">
                  <c:v>2.3241499310183274E-2</c:v>
                </c:pt>
                <c:pt idx="6">
                  <c:v>3.1220064937665798E-2</c:v>
                </c:pt>
              </c:numCache>
            </c:numRef>
          </c:xVal>
          <c:yVal>
            <c:numRef>
              <c:f>(Saurian_muscle_architecture!$K$17,Saurian_muscle_architecture!$K$21,Saurian_muscle_architecture!$K$25,Saurian_muscle_architecture!$K$29,Saurian_muscle_architecture!$K$33,Saurian_muscle_architecture!$K$37,Saurian_muscle_architecture!$K$41)</c:f>
              <c:numCache>
                <c:formatCode>General</c:formatCode>
                <c:ptCount val="7"/>
                <c:pt idx="0">
                  <c:v>3.2885416386829298E-3</c:v>
                </c:pt>
                <c:pt idx="1">
                  <c:v>2.0719691596454465E-3</c:v>
                </c:pt>
                <c:pt idx="2">
                  <c:v>2.4517087667161961E-3</c:v>
                </c:pt>
                <c:pt idx="3">
                  <c:v>2.0845864944245671E-3</c:v>
                </c:pt>
                <c:pt idx="4">
                  <c:v>6.114563389112256E-4</c:v>
                </c:pt>
                <c:pt idx="5">
                  <c:v>2.2953442100377454E-3</c:v>
                </c:pt>
                <c:pt idx="6">
                  <c:v>2.5391577823260375E-3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65-3049-B3F2-EBBDCE279F8A}"/>
            </c:ext>
          </c:extLst>
        </c:ser>
        <c:ser>
          <c:idx val="2"/>
          <c:order val="1"/>
          <c:tx>
            <c:v>Geckos PIFE</c:v>
          </c:tx>
          <c:spPr>
            <a:ln w="47625">
              <a:noFill/>
            </a:ln>
          </c:spPr>
          <c:xVal>
            <c:numRef>
              <c:f>Saurian_muscle_architecture!$M$48:$M$51</c:f>
              <c:numCache>
                <c:formatCode>General</c:formatCode>
                <c:ptCount val="4"/>
                <c:pt idx="0">
                  <c:v>1.3494038893248433E-2</c:v>
                </c:pt>
                <c:pt idx="1">
                  <c:v>1.947901789914076E-2</c:v>
                </c:pt>
                <c:pt idx="2">
                  <c:v>1.1290909645990213E-2</c:v>
                </c:pt>
                <c:pt idx="3">
                  <c:v>1.5113149420025377E-2</c:v>
                </c:pt>
              </c:numCache>
            </c:numRef>
          </c:xVal>
          <c:yVal>
            <c:numRef>
              <c:f>Saurian_muscle_architecture!$K$48:$K$51</c:f>
              <c:numCache>
                <c:formatCode>General</c:formatCode>
                <c:ptCount val="4"/>
                <c:pt idx="0">
                  <c:v>1.8574224786236735E-3</c:v>
                </c:pt>
                <c:pt idx="1">
                  <c:v>2.657574281539211E-3</c:v>
                </c:pt>
                <c:pt idx="2">
                  <c:v>9.6842105263157891E-4</c:v>
                </c:pt>
                <c:pt idx="3">
                  <c:v>1.3152804642166344E-3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65-3049-B3F2-EBBDCE279F8A}"/>
            </c:ext>
          </c:extLst>
        </c:ser>
        <c:ser>
          <c:idx val="3"/>
          <c:order val="2"/>
          <c:tx>
            <c:v>Varanus PIF * 0.5</c:v>
          </c:tx>
          <c:spPr>
            <a:ln w="47625">
              <a:noFill/>
            </a:ln>
          </c:spPr>
          <c:xVal>
            <c:numRef>
              <c:f>Saurian_muscle_architecture!$M$42:$M$47</c:f>
              <c:numCache>
                <c:formatCode>General</c:formatCode>
                <c:ptCount val="6"/>
                <c:pt idx="0">
                  <c:v>3.5160000000000004E-2</c:v>
                </c:pt>
                <c:pt idx="1">
                  <c:v>3.2119999999999996E-2</c:v>
                </c:pt>
                <c:pt idx="2">
                  <c:v>3.5259999999999993E-2</c:v>
                </c:pt>
                <c:pt idx="3">
                  <c:v>2.7020000000000002E-2</c:v>
                </c:pt>
                <c:pt idx="4">
                  <c:v>2.9449999999999997E-2</c:v>
                </c:pt>
                <c:pt idx="5">
                  <c:v>2.9780000000000004E-2</c:v>
                </c:pt>
              </c:numCache>
            </c:numRef>
          </c:xVal>
          <c:yVal>
            <c:numRef>
              <c:f>Saurian_muscle_architecture!$N$42:$N$47</c:f>
              <c:numCache>
                <c:formatCode>General</c:formatCode>
                <c:ptCount val="6"/>
                <c:pt idx="0">
                  <c:v>2.2375565110061167E-3</c:v>
                </c:pt>
                <c:pt idx="1">
                  <c:v>2.4327850687194761E-3</c:v>
                </c:pt>
                <c:pt idx="2">
                  <c:v>1.9534550240231968E-3</c:v>
                </c:pt>
                <c:pt idx="3">
                  <c:v>1.6532073712729784E-3</c:v>
                </c:pt>
                <c:pt idx="4">
                  <c:v>2.6066828255257709E-3</c:v>
                </c:pt>
                <c:pt idx="5">
                  <c:v>1.56983407694135E-3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D65-3049-B3F2-EBBDCE279F8A}"/>
            </c:ext>
          </c:extLst>
        </c:ser>
        <c:ser>
          <c:idx val="1"/>
          <c:order val="3"/>
          <c:tx>
            <c:v>Euparkeria PIFE sum</c:v>
          </c:tx>
          <c:spPr>
            <a:ln w="4762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Saurian_muscle_architecture!$K$55</c:f>
              <c:numCache>
                <c:formatCode>General</c:formatCode>
                <c:ptCount val="1"/>
                <c:pt idx="0">
                  <c:v>3.4803853885417308E-3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D65-3049-B3F2-EBBDCE279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7774152"/>
        <c:axId val="-2097728936"/>
      </c:scatterChart>
      <c:valAx>
        <c:axId val="-2097774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L</a:t>
                </a:r>
                <a:r>
                  <a:rPr lang="de-DE" sz="1000" b="1" i="0" baseline="-25000">
                    <a:effectLst/>
                  </a:rPr>
                  <a:t>o</a:t>
                </a:r>
                <a:r>
                  <a:rPr lang="de-DE" sz="1000" b="1" i="0" baseline="0">
                    <a:effectLst/>
                  </a:rPr>
                  <a:t>/M</a:t>
                </a:r>
                <a:r>
                  <a:rPr lang="de-DE" sz="1000" b="1" i="0" baseline="-25000">
                    <a:effectLst/>
                  </a:rPr>
                  <a:t>body</a:t>
                </a:r>
                <a:r>
                  <a:rPr lang="de-DE" sz="1000" b="1" i="0" baseline="30000">
                    <a:effectLst/>
                  </a:rPr>
                  <a:t>0.33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97728936"/>
        <c:crosses val="autoZero"/>
        <c:crossBetween val="midCat"/>
      </c:valAx>
      <c:valAx>
        <c:axId val="-2097728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M</a:t>
                </a:r>
                <a:r>
                  <a:rPr lang="de-DE" sz="1000" b="1" i="0" baseline="-25000">
                    <a:effectLst/>
                  </a:rPr>
                  <a:t>muscle</a:t>
                </a:r>
                <a:r>
                  <a:rPr lang="de-DE" sz="1000" b="1" i="0" baseline="0">
                    <a:effectLst/>
                  </a:rPr>
                  <a:t>*cos(θ)/M</a:t>
                </a:r>
                <a:r>
                  <a:rPr lang="de-DE" sz="1000" b="1" i="0" baseline="-25000">
                    <a:effectLst/>
                  </a:rPr>
                  <a:t>body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977741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PIFI1</c:v>
          </c:tx>
          <c:spPr>
            <a:ln w="47625">
              <a:noFill/>
            </a:ln>
          </c:spPr>
          <c:yVal>
            <c:numRef>
              <c:f>Saurian_muscle_architecture!$N$58:$N$64</c:f>
              <c:numCache>
                <c:formatCode>General</c:formatCode>
                <c:ptCount val="7"/>
                <c:pt idx="0">
                  <c:v>1.2625730994152047E-3</c:v>
                </c:pt>
                <c:pt idx="1">
                  <c:v>1.301111111111111E-3</c:v>
                </c:pt>
                <c:pt idx="2">
                  <c:v>9.8563645368994544E-4</c:v>
                </c:pt>
                <c:pt idx="3">
                  <c:v>7.5527075812274367E-4</c:v>
                </c:pt>
                <c:pt idx="4">
                  <c:v>6.5323741007194253E-4</c:v>
                </c:pt>
                <c:pt idx="5">
                  <c:v>8.3051948051948048E-4</c:v>
                </c:pt>
                <c:pt idx="6">
                  <c:v>8.7073860992408858E-4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DE-1A4F-AA47-57ABF7CF21F8}"/>
            </c:ext>
          </c:extLst>
        </c:ser>
        <c:ser>
          <c:idx val="1"/>
          <c:order val="1"/>
          <c:tx>
            <c:v>Croc PIFI2</c:v>
          </c:tx>
          <c:spPr>
            <a:ln w="47625">
              <a:noFill/>
            </a:ln>
          </c:spPr>
          <c:yVal>
            <c:numRef>
              <c:f>Saurian_muscle_architecture!$N$65:$N$70</c:f>
              <c:numCache>
                <c:formatCode>General</c:formatCode>
                <c:ptCount val="6"/>
                <c:pt idx="0">
                  <c:v>5.460818713450292E-3</c:v>
                </c:pt>
                <c:pt idx="1">
                  <c:v>3.6298752050807504E-3</c:v>
                </c:pt>
                <c:pt idx="2">
                  <c:v>3.0411094601287764E-3</c:v>
                </c:pt>
                <c:pt idx="3">
                  <c:v>3.5267148014440433E-3</c:v>
                </c:pt>
                <c:pt idx="4">
                  <c:v>1.8366656387879374E-3</c:v>
                </c:pt>
                <c:pt idx="5">
                  <c:v>3.185704606195737E-3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DE-1A4F-AA47-57ABF7CF21F8}"/>
            </c:ext>
          </c:extLst>
        </c:ser>
        <c:ser>
          <c:idx val="2"/>
          <c:order val="2"/>
          <c:tx>
            <c:v>Geckos PIFI</c:v>
          </c:tx>
          <c:spPr>
            <a:ln w="47625">
              <a:noFill/>
            </a:ln>
          </c:spPr>
          <c:yVal>
            <c:numRef>
              <c:f>Saurian_muscle_architecture!$K$83:$K$86</c:f>
              <c:numCache>
                <c:formatCode>General</c:formatCode>
                <c:ptCount val="4"/>
                <c:pt idx="0">
                  <c:v>1.982074791387658E-3</c:v>
                </c:pt>
                <c:pt idx="1">
                  <c:v>2.8046760837798345E-3</c:v>
                </c:pt>
                <c:pt idx="2">
                  <c:v>9.6842105263157891E-4</c:v>
                </c:pt>
                <c:pt idx="3">
                  <c:v>9.8839458413926503E-4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CDE-1A4F-AA47-57ABF7CF21F8}"/>
            </c:ext>
          </c:extLst>
        </c:ser>
        <c:ser>
          <c:idx val="3"/>
          <c:order val="3"/>
          <c:tx>
            <c:v>Varanus PIF</c:v>
          </c:tx>
          <c:spPr>
            <a:ln w="47625">
              <a:noFill/>
            </a:ln>
          </c:spPr>
          <c:yVal>
            <c:numRef>
              <c:f>Saurian_muscle_architecture!$K$77:$K$82</c:f>
              <c:numCache>
                <c:formatCode>General</c:formatCode>
                <c:ptCount val="6"/>
                <c:pt idx="0">
                  <c:v>4.4751130220122334E-3</c:v>
                </c:pt>
                <c:pt idx="1">
                  <c:v>4.8655701374389522E-3</c:v>
                </c:pt>
                <c:pt idx="2">
                  <c:v>3.9069100480463937E-3</c:v>
                </c:pt>
                <c:pt idx="3">
                  <c:v>3.3064147425459567E-3</c:v>
                </c:pt>
                <c:pt idx="4">
                  <c:v>5.2133656510515419E-3</c:v>
                </c:pt>
                <c:pt idx="5">
                  <c:v>3.1396681538827E-3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CDE-1A4F-AA47-57ABF7CF21F8}"/>
            </c:ext>
          </c:extLst>
        </c:ser>
        <c:ser>
          <c:idx val="4"/>
          <c:order val="4"/>
          <c:tx>
            <c:v>Euparkeria PIFI1</c:v>
          </c:tx>
          <c:spPr>
            <a:ln w="47625">
              <a:noFill/>
            </a:ln>
          </c:spPr>
          <c:yVal>
            <c:numRef>
              <c:f>Saurian_muscle_architecture!$K$87</c:f>
              <c:numCache>
                <c:formatCode>General</c:formatCode>
                <c:ptCount val="1"/>
                <c:pt idx="0">
                  <c:v>6.2678164223933124E-4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CDE-1A4F-AA47-57ABF7CF21F8}"/>
            </c:ext>
          </c:extLst>
        </c:ser>
        <c:ser>
          <c:idx val="5"/>
          <c:order val="5"/>
          <c:tx>
            <c:v>Euparkeria PIFI 2</c:v>
          </c:tx>
          <c:spPr>
            <a:ln w="47625">
              <a:noFill/>
            </a:ln>
          </c:spPr>
          <c:yVal>
            <c:numRef>
              <c:f>Saurian_muscle_architecture!$K$88</c:f>
              <c:numCache>
                <c:formatCode>General</c:formatCode>
                <c:ptCount val="1"/>
                <c:pt idx="0">
                  <c:v>1.5164511195652072E-3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CDE-1A4F-AA47-57ABF7CF2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9193992"/>
        <c:axId val="-2018663512"/>
      </c:scatterChart>
      <c:valAx>
        <c:axId val="-201919399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18663512"/>
        <c:crosses val="autoZero"/>
        <c:crossBetween val="midCat"/>
      </c:valAx>
      <c:valAx>
        <c:axId val="-2018663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191939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PIFI sum</c:v>
          </c:tx>
          <c:spPr>
            <a:ln w="47625">
              <a:noFill/>
            </a:ln>
          </c:spPr>
          <c:xVal>
            <c:numRef>
              <c:f>(Saurian_muscle_architecture!$M$60,Saurian_muscle_architecture!$M$63,Saurian_muscle_architecture!$M$66,Saurian_muscle_architecture!$M$69,Saurian_muscle_architecture!$M$72,Saurian_muscle_architecture!$M$75)</c:f>
              <c:numCache>
                <c:formatCode>General</c:formatCode>
                <c:ptCount val="6"/>
                <c:pt idx="0">
                  <c:v>3.439068988518084E-2</c:v>
                </c:pt>
                <c:pt idx="1">
                  <c:v>2.9989849712861855E-2</c:v>
                </c:pt>
                <c:pt idx="2">
                  <c:v>2.1084162099309633E-2</c:v>
                </c:pt>
                <c:pt idx="3">
                  <c:v>3.2749732113809049E-2</c:v>
                </c:pt>
                <c:pt idx="4">
                  <c:v>2.7399481103548656E-2</c:v>
                </c:pt>
                <c:pt idx="5">
                  <c:v>5.5703118090768312E-2</c:v>
                </c:pt>
              </c:numCache>
            </c:numRef>
          </c:xVal>
          <c:yVal>
            <c:numRef>
              <c:f>Saurian_muscle_architecture!$N$71:$N$76</c:f>
              <c:numCache>
                <c:formatCode>General</c:formatCode>
                <c:ptCount val="6"/>
                <c:pt idx="0">
                  <c:v>6.7233918128654967E-3</c:v>
                </c:pt>
                <c:pt idx="1">
                  <c:v>4.933270180290974E-3</c:v>
                </c:pt>
                <c:pt idx="2">
                  <c:v>9.0333333333333346E-4</c:v>
                </c:pt>
                <c:pt idx="3">
                  <c:v>4.2819855595667873E-3</c:v>
                </c:pt>
                <c:pt idx="4">
                  <c:v>2.5170705236730829E-3</c:v>
                </c:pt>
                <c:pt idx="5">
                  <c:v>4.1964872530084194E-3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02-EE4C-BAEB-7800E80AA0A3}"/>
            </c:ext>
          </c:extLst>
        </c:ser>
        <c:ser>
          <c:idx val="2"/>
          <c:order val="1"/>
          <c:tx>
            <c:v>Geckos PIFI</c:v>
          </c:tx>
          <c:spPr>
            <a:ln w="47625">
              <a:noFill/>
            </a:ln>
          </c:spPr>
          <c:xVal>
            <c:numRef>
              <c:f>Saurian_muscle_architecture!$M$83:$M$86</c:f>
              <c:numCache>
                <c:formatCode>General</c:formatCode>
                <c:ptCount val="4"/>
                <c:pt idx="0">
                  <c:v>1.0847048223948821E-2</c:v>
                </c:pt>
                <c:pt idx="1">
                  <c:v>1.9631628267882666E-2</c:v>
                </c:pt>
                <c:pt idx="2">
                  <c:v>2.5001116093263945E-2</c:v>
                </c:pt>
                <c:pt idx="3">
                  <c:v>2.2377348745549353E-2</c:v>
                </c:pt>
              </c:numCache>
            </c:numRef>
          </c:xVal>
          <c:yVal>
            <c:numRef>
              <c:f>Saurian_muscle_architecture!$K$83:$K$86</c:f>
              <c:numCache>
                <c:formatCode>General</c:formatCode>
                <c:ptCount val="4"/>
                <c:pt idx="0">
                  <c:v>1.982074791387658E-3</c:v>
                </c:pt>
                <c:pt idx="1">
                  <c:v>2.8046760837798345E-3</c:v>
                </c:pt>
                <c:pt idx="2">
                  <c:v>9.6842105263157891E-4</c:v>
                </c:pt>
                <c:pt idx="3">
                  <c:v>9.8839458413926503E-4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02-EE4C-BAEB-7800E80AA0A3}"/>
            </c:ext>
          </c:extLst>
        </c:ser>
        <c:ser>
          <c:idx val="3"/>
          <c:order val="2"/>
          <c:tx>
            <c:v>Varanus PIF * 0.5</c:v>
          </c:tx>
          <c:spPr>
            <a:ln w="47625">
              <a:noFill/>
            </a:ln>
          </c:spPr>
          <c:xVal>
            <c:numRef>
              <c:f>Saurian_muscle_architecture!$M$77:$M$82</c:f>
              <c:numCache>
                <c:formatCode>General</c:formatCode>
                <c:ptCount val="6"/>
                <c:pt idx="0">
                  <c:v>3.5160000000000004E-2</c:v>
                </c:pt>
                <c:pt idx="1">
                  <c:v>3.2119999999999996E-2</c:v>
                </c:pt>
                <c:pt idx="2">
                  <c:v>3.5259999999999993E-2</c:v>
                </c:pt>
                <c:pt idx="3">
                  <c:v>2.7020000000000002E-2</c:v>
                </c:pt>
                <c:pt idx="4">
                  <c:v>2.9449999999999997E-2</c:v>
                </c:pt>
                <c:pt idx="5">
                  <c:v>2.9780000000000004E-2</c:v>
                </c:pt>
              </c:numCache>
            </c:numRef>
          </c:xVal>
          <c:yVal>
            <c:numRef>
              <c:f>Saurian_muscle_architecture!$N$77:$N$82</c:f>
              <c:numCache>
                <c:formatCode>General</c:formatCode>
                <c:ptCount val="6"/>
                <c:pt idx="0">
                  <c:v>2.2375565110061167E-3</c:v>
                </c:pt>
                <c:pt idx="1">
                  <c:v>2.4327850687194761E-3</c:v>
                </c:pt>
                <c:pt idx="2">
                  <c:v>1.9534550240231968E-3</c:v>
                </c:pt>
                <c:pt idx="3">
                  <c:v>1.6532073712729784E-3</c:v>
                </c:pt>
                <c:pt idx="4">
                  <c:v>2.6066828255257709E-3</c:v>
                </c:pt>
                <c:pt idx="5">
                  <c:v>1.56983407694135E-3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602-EE4C-BAEB-7800E80AA0A3}"/>
            </c:ext>
          </c:extLst>
        </c:ser>
        <c:ser>
          <c:idx val="1"/>
          <c:order val="3"/>
          <c:tx>
            <c:v>Euparkeria PIFI sum</c:v>
          </c:tx>
          <c:spPr>
            <a:ln w="4762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Saurian_muscle_architecture!$K$89</c:f>
              <c:numCache>
                <c:formatCode>General</c:formatCode>
                <c:ptCount val="1"/>
                <c:pt idx="0">
                  <c:v>2.1432327618045384E-3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602-EE4C-BAEB-7800E80AA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7753880"/>
        <c:axId val="-2106328984"/>
      </c:scatterChart>
      <c:valAx>
        <c:axId val="-2097753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L</a:t>
                </a:r>
                <a:r>
                  <a:rPr lang="de-DE" sz="1000" b="1" i="0" baseline="-25000">
                    <a:effectLst/>
                  </a:rPr>
                  <a:t>o</a:t>
                </a:r>
                <a:r>
                  <a:rPr lang="de-DE" sz="1000" b="1" i="0" baseline="0">
                    <a:effectLst/>
                  </a:rPr>
                  <a:t>/M</a:t>
                </a:r>
                <a:r>
                  <a:rPr lang="de-DE" sz="1000" b="1" i="0" baseline="-25000">
                    <a:effectLst/>
                  </a:rPr>
                  <a:t>body</a:t>
                </a:r>
                <a:r>
                  <a:rPr lang="de-DE" sz="1000" b="1" i="0" baseline="30000">
                    <a:effectLst/>
                  </a:rPr>
                  <a:t>0.33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06328984"/>
        <c:crosses val="autoZero"/>
        <c:crossBetween val="midCat"/>
      </c:valAx>
      <c:valAx>
        <c:axId val="-2106328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M</a:t>
                </a:r>
                <a:r>
                  <a:rPr lang="de-DE" sz="1000" b="1" i="0" baseline="-25000">
                    <a:effectLst/>
                  </a:rPr>
                  <a:t>muscle</a:t>
                </a:r>
                <a:r>
                  <a:rPr lang="de-DE" sz="1000" b="1" i="0" baseline="0">
                    <a:effectLst/>
                  </a:rPr>
                  <a:t>*cos(θ)/M</a:t>
                </a:r>
                <a:r>
                  <a:rPr lang="de-DE" sz="1000" b="1" i="0" baseline="-25000">
                    <a:effectLst/>
                  </a:rPr>
                  <a:t>body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977538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AMB1</c:v>
          </c:tx>
          <c:spPr>
            <a:ln w="47625">
              <a:noFill/>
            </a:ln>
          </c:spPr>
          <c:yVal>
            <c:numRef>
              <c:f>Saurian_muscle_architecture!$N$112:$N$118</c:f>
              <c:numCache>
                <c:formatCode>General</c:formatCode>
                <c:ptCount val="7"/>
                <c:pt idx="0">
                  <c:v>8.8339192987370492E-4</c:v>
                </c:pt>
                <c:pt idx="1">
                  <c:v>3.6266666666666668E-4</c:v>
                </c:pt>
                <c:pt idx="2">
                  <c:v>3.1203566121842496E-4</c:v>
                </c:pt>
                <c:pt idx="3">
                  <c:v>6.6534296028880862E-4</c:v>
                </c:pt>
                <c:pt idx="4">
                  <c:v>4.5873052611337321E-4</c:v>
                </c:pt>
                <c:pt idx="5">
                  <c:v>1.4722077922077923E-3</c:v>
                </c:pt>
                <c:pt idx="6">
                  <c:v>7.917873541590728E-4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21-7F4E-A111-B2B848A09786}"/>
            </c:ext>
          </c:extLst>
        </c:ser>
        <c:ser>
          <c:idx val="1"/>
          <c:order val="1"/>
          <c:tx>
            <c:v>Croc AMB2</c:v>
          </c:tx>
          <c:spPr>
            <a:ln w="47625">
              <a:noFill/>
            </a:ln>
          </c:spPr>
          <c:yVal>
            <c:numRef>
              <c:f>Saurian_muscle_architecture!$N$119:$N$124</c:f>
              <c:numCache>
                <c:formatCode>General</c:formatCode>
                <c:ptCount val="6"/>
                <c:pt idx="0">
                  <c:v>2.0264630617993371E-4</c:v>
                </c:pt>
                <c:pt idx="1">
                  <c:v>7.2313026250619115E-4</c:v>
                </c:pt>
                <c:pt idx="2">
                  <c:v>2.3816766146322039E-4</c:v>
                </c:pt>
                <c:pt idx="3">
                  <c:v>9.9093398910786044E-5</c:v>
                </c:pt>
                <c:pt idx="4">
                  <c:v>1.6207792207792207E-4</c:v>
                </c:pt>
                <c:pt idx="5">
                  <c:v>2.881787656085961E-4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721-7F4E-A111-B2B848A09786}"/>
            </c:ext>
          </c:extLst>
        </c:ser>
        <c:ser>
          <c:idx val="2"/>
          <c:order val="2"/>
          <c:tx>
            <c:v>Varanus AMBD</c:v>
          </c:tx>
          <c:spPr>
            <a:ln w="47625">
              <a:noFill/>
            </a:ln>
          </c:spPr>
          <c:yVal>
            <c:numRef>
              <c:f>Saurian_muscle_architecture!$N$131:$N$136</c:f>
              <c:numCache>
                <c:formatCode>General</c:formatCode>
                <c:ptCount val="6"/>
                <c:pt idx="0">
                  <c:v>3.0700000000000002E-3</c:v>
                </c:pt>
                <c:pt idx="1">
                  <c:v>2.9299999999999994E-3</c:v>
                </c:pt>
                <c:pt idx="2">
                  <c:v>3.2200000000000006E-3</c:v>
                </c:pt>
                <c:pt idx="3">
                  <c:v>1.7899999999999999E-3</c:v>
                </c:pt>
                <c:pt idx="4">
                  <c:v>2.9399999999999999E-3</c:v>
                </c:pt>
                <c:pt idx="5">
                  <c:v>2.7800000000000004E-3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721-7F4E-A111-B2B848A09786}"/>
            </c:ext>
          </c:extLst>
        </c:ser>
        <c:ser>
          <c:idx val="3"/>
          <c:order val="3"/>
          <c:tx>
            <c:v>Varanus AMBV</c:v>
          </c:tx>
          <c:spPr>
            <a:ln w="47625">
              <a:noFill/>
            </a:ln>
          </c:spPr>
          <c:yVal>
            <c:numRef>
              <c:f>Saurian_muscle_architecture!$N$137:$N$140</c:f>
              <c:numCache>
                <c:formatCode>General</c:formatCode>
                <c:ptCount val="4"/>
                <c:pt idx="0">
                  <c:v>3.5499999999999998E-3</c:v>
                </c:pt>
                <c:pt idx="1">
                  <c:v>2.32E-3</c:v>
                </c:pt>
                <c:pt idx="2">
                  <c:v>1.6200000000000001E-3</c:v>
                </c:pt>
                <c:pt idx="3">
                  <c:v>1.5099999999999998E-3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721-7F4E-A111-B2B848A09786}"/>
            </c:ext>
          </c:extLst>
        </c:ser>
        <c:ser>
          <c:idx val="4"/>
          <c:order val="4"/>
          <c:tx>
            <c:v>Geckos AMB</c:v>
          </c:tx>
          <c:spPr>
            <a:ln w="47625">
              <a:noFill/>
            </a:ln>
          </c:spPr>
          <c:yVal>
            <c:numRef>
              <c:f>Saurian_muscle_architecture!$K$145:$K$148</c:f>
              <c:numCache>
                <c:formatCode>General</c:formatCode>
                <c:ptCount val="4"/>
                <c:pt idx="0">
                  <c:v>9.9515813330586169E-4</c:v>
                </c:pt>
                <c:pt idx="1">
                  <c:v>1.7905504140282513E-3</c:v>
                </c:pt>
                <c:pt idx="2">
                  <c:v>8.4561403508771925E-4</c:v>
                </c:pt>
                <c:pt idx="3">
                  <c:v>8.9941972920696319E-4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721-7F4E-A111-B2B848A09786}"/>
            </c:ext>
          </c:extLst>
        </c:ser>
        <c:ser>
          <c:idx val="5"/>
          <c:order val="5"/>
          <c:tx>
            <c:v>Euparkeria AMB</c:v>
          </c:tx>
          <c:spPr>
            <a:ln w="47625">
              <a:noFill/>
            </a:ln>
          </c:spPr>
          <c:yVal>
            <c:numRef>
              <c:f>Saurian_muscle_architecture!$K$149</c:f>
              <c:numCache>
                <c:formatCode>General</c:formatCode>
                <c:ptCount val="1"/>
                <c:pt idx="0">
                  <c:v>1.8150046349107482E-3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721-7F4E-A111-B2B848A09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8844712"/>
        <c:axId val="-2098781944"/>
      </c:scatterChart>
      <c:valAx>
        <c:axId val="-209884471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98781944"/>
        <c:crosses val="autoZero"/>
        <c:crossBetween val="midCat"/>
      </c:valAx>
      <c:valAx>
        <c:axId val="-2098781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88447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CFB</c:v>
          </c:tx>
          <c:spPr>
            <a:ln w="47625">
              <a:noFill/>
            </a:ln>
          </c:spPr>
          <c:yVal>
            <c:numRef>
              <c:f>Saurian_muscle_architecture!$K$416:$K$422</c:f>
              <c:numCache>
                <c:formatCode>General</c:formatCode>
                <c:ptCount val="7"/>
                <c:pt idx="0">
                  <c:v>1.3046783625730992E-3</c:v>
                </c:pt>
                <c:pt idx="1">
                  <c:v>8.4892807233772813E-4</c:v>
                </c:pt>
                <c:pt idx="2">
                  <c:v>1.1331366202739965E-3</c:v>
                </c:pt>
                <c:pt idx="3">
                  <c:v>9.3646209386281595E-4</c:v>
                </c:pt>
                <c:pt idx="4">
                  <c:v>2.171226568943917E-4</c:v>
                </c:pt>
                <c:pt idx="5">
                  <c:v>1.5461038961038962E-3</c:v>
                </c:pt>
                <c:pt idx="6">
                  <c:v>1.0777567567567567E-3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C9-344E-95BA-4D5931F23DDA}"/>
            </c:ext>
          </c:extLst>
        </c:ser>
        <c:ser>
          <c:idx val="3"/>
          <c:order val="1"/>
          <c:tx>
            <c:v>Varanus CFEMB</c:v>
          </c:tx>
          <c:spPr>
            <a:ln w="47625">
              <a:noFill/>
            </a:ln>
          </c:spPr>
          <c:yVal>
            <c:numRef>
              <c:f>Saurian_muscle_architecture!$K$423:$K$426</c:f>
              <c:numCache>
                <c:formatCode>General</c:formatCode>
                <c:ptCount val="4"/>
                <c:pt idx="0">
                  <c:v>1.8100000000000002E-3</c:v>
                </c:pt>
                <c:pt idx="1">
                  <c:v>2.4700000000000004E-3</c:v>
                </c:pt>
                <c:pt idx="2">
                  <c:v>1.47E-3</c:v>
                </c:pt>
                <c:pt idx="3">
                  <c:v>3.8499999999999997E-3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C9-344E-95BA-4D5931F23DDA}"/>
            </c:ext>
          </c:extLst>
        </c:ser>
        <c:ser>
          <c:idx val="2"/>
          <c:order val="2"/>
          <c:tx>
            <c:v>Geckos CFB</c:v>
          </c:tx>
          <c:spPr>
            <a:ln w="47625">
              <a:noFill/>
            </a:ln>
          </c:spPr>
          <c:yVal>
            <c:numRef>
              <c:f>Saurian_muscle_architecture!$K$482:$K$485</c:f>
              <c:numCache>
                <c:formatCode>General</c:formatCode>
                <c:ptCount val="4"/>
                <c:pt idx="0">
                  <c:v>8.5496602577051829E-4</c:v>
                </c:pt>
                <c:pt idx="1">
                  <c:v>8.757480236657642E-4</c:v>
                </c:pt>
                <c:pt idx="2">
                  <c:v>2.3974775676961329E-4</c:v>
                </c:pt>
                <c:pt idx="3">
                  <c:v>3.9518016140864163E-4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AC9-344E-95BA-4D5931F23DDA}"/>
            </c:ext>
          </c:extLst>
        </c:ser>
        <c:ser>
          <c:idx val="1"/>
          <c:order val="3"/>
          <c:tx>
            <c:v>Euparkeria CFB</c:v>
          </c:tx>
          <c:spPr>
            <a:ln w="47625">
              <a:noFill/>
            </a:ln>
          </c:spPr>
          <c:yVal>
            <c:numRef>
              <c:f>Saurian_muscle_architecture!$K$431</c:f>
              <c:numCache>
                <c:formatCode>General</c:formatCode>
                <c:ptCount val="1"/>
                <c:pt idx="0">
                  <c:v>4.3234436031169485E-3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AC9-344E-95BA-4D5931F23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3330264"/>
        <c:axId val="2073333400"/>
      </c:scatterChart>
      <c:valAx>
        <c:axId val="2073330264"/>
        <c:scaling>
          <c:orientation val="minMax"/>
        </c:scaling>
        <c:delete val="0"/>
        <c:axPos val="b"/>
        <c:majorTickMark val="out"/>
        <c:minorTickMark val="none"/>
        <c:tickLblPos val="nextTo"/>
        <c:crossAx val="2073333400"/>
        <c:crosses val="autoZero"/>
        <c:crossBetween val="midCat"/>
      </c:valAx>
      <c:valAx>
        <c:axId val="2073333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33302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AMB sum</c:v>
          </c:tx>
          <c:spPr>
            <a:ln w="47625">
              <a:noFill/>
            </a:ln>
          </c:spPr>
          <c:xVal>
            <c:numRef>
              <c:f>(Saurian_muscle_architecture!$M$114,Saurian_muscle_architecture!$M$118,Saurian_muscle_architecture!$M$121,Saurian_muscle_architecture!$M$124,Saurian_muscle_architecture!$M$127,Saurian_muscle_architecture!$M$130)</c:f>
              <c:numCache>
                <c:formatCode>General</c:formatCode>
                <c:ptCount val="6"/>
                <c:pt idx="0">
                  <c:v>1.4792045687416374E-2</c:v>
                </c:pt>
                <c:pt idx="1">
                  <c:v>2.2783205470063541E-2</c:v>
                </c:pt>
                <c:pt idx="2">
                  <c:v>1.9716675456272797E-2</c:v>
                </c:pt>
                <c:pt idx="3">
                  <c:v>1.2880097954659626E-2</c:v>
                </c:pt>
                <c:pt idx="4">
                  <c:v>4.4613481308395674E-2</c:v>
                </c:pt>
                <c:pt idx="5">
                  <c:v>1.7194066769222815E-2</c:v>
                </c:pt>
              </c:numCache>
            </c:numRef>
          </c:xVal>
          <c:yVal>
            <c:numRef>
              <c:f>Saurian_muscle_architecture!$N$125:$N$130</c:f>
              <c:numCache>
                <c:formatCode>General</c:formatCode>
                <c:ptCount val="6"/>
                <c:pt idx="0">
                  <c:v>1.09552381685434E-3</c:v>
                </c:pt>
                <c:pt idx="1">
                  <c:v>1.0351659237246161E-3</c:v>
                </c:pt>
                <c:pt idx="2">
                  <c:v>9.0737155403754644E-4</c:v>
                </c:pt>
                <c:pt idx="3">
                  <c:v>5.7465483229572937E-4</c:v>
                </c:pt>
                <c:pt idx="4">
                  <c:v>1.6255160282098208E-3</c:v>
                </c:pt>
                <c:pt idx="5">
                  <c:v>1.0854074478578162E-3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AD-734C-97C5-3B109504612C}"/>
            </c:ext>
          </c:extLst>
        </c:ser>
        <c:ser>
          <c:idx val="3"/>
          <c:order val="1"/>
          <c:tx>
            <c:v>Varanus AMB sum</c:v>
          </c:tx>
          <c:spPr>
            <a:ln w="47625">
              <a:noFill/>
            </a:ln>
          </c:spPr>
          <c:xVal>
            <c:numRef>
              <c:f>(Saurian_muscle_architecture!$M$134,Saurian_muscle_architecture!$M$137,Saurian_muscle_architecture!$M$141,Saurian_muscle_architecture!$M$144)</c:f>
              <c:numCache>
                <c:formatCode>General</c:formatCode>
                <c:ptCount val="4"/>
                <c:pt idx="0">
                  <c:v>3.662E-2</c:v>
                </c:pt>
                <c:pt idx="1">
                  <c:v>3.6699999999999997E-2</c:v>
                </c:pt>
                <c:pt idx="2">
                  <c:v>3.739E-2</c:v>
                </c:pt>
                <c:pt idx="3">
                  <c:v>3.5560000000000001E-2</c:v>
                </c:pt>
              </c:numCache>
            </c:numRef>
          </c:xVal>
          <c:yVal>
            <c:numRef>
              <c:f>(Saurian_muscle_architecture!$K$134,Saurian_muscle_architecture!$K$137,Saurian_muscle_architecture!$K$141,Saurian_muscle_architecture!$K$144)</c:f>
              <c:numCache>
                <c:formatCode>General</c:formatCode>
                <c:ptCount val="4"/>
                <c:pt idx="0">
                  <c:v>6.4799999999999996E-3</c:v>
                </c:pt>
                <c:pt idx="1">
                  <c:v>5.5400000000000007E-3</c:v>
                </c:pt>
                <c:pt idx="2">
                  <c:v>4.5599999999999998E-3</c:v>
                </c:pt>
                <c:pt idx="3">
                  <c:v>4.2900000000000004E-3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AD-734C-97C5-3B109504612C}"/>
            </c:ext>
          </c:extLst>
        </c:ser>
        <c:ser>
          <c:idx val="2"/>
          <c:order val="2"/>
          <c:tx>
            <c:v>Geckos AMB</c:v>
          </c:tx>
          <c:spPr>
            <a:ln w="47625">
              <a:noFill/>
            </a:ln>
          </c:spPr>
          <c:xVal>
            <c:numRef>
              <c:f>Saurian_muscle_architecture!$M$145:$M$148</c:f>
              <c:numCache>
                <c:formatCode>General</c:formatCode>
                <c:ptCount val="4"/>
                <c:pt idx="0">
                  <c:v>1.782292657020253E-2</c:v>
                </c:pt>
                <c:pt idx="1">
                  <c:v>2.0869467925455919E-2</c:v>
                </c:pt>
                <c:pt idx="2">
                  <c:v>1.5810361968387938E-2</c:v>
                </c:pt>
                <c:pt idx="3">
                  <c:v>1.3374844861337968E-2</c:v>
                </c:pt>
              </c:numCache>
            </c:numRef>
          </c:xVal>
          <c:yVal>
            <c:numRef>
              <c:f>Saurian_muscle_architecture!$K$145:$K$148</c:f>
              <c:numCache>
                <c:formatCode>General</c:formatCode>
                <c:ptCount val="4"/>
                <c:pt idx="0">
                  <c:v>9.9515813330586169E-4</c:v>
                </c:pt>
                <c:pt idx="1">
                  <c:v>1.7905504140282513E-3</c:v>
                </c:pt>
                <c:pt idx="2">
                  <c:v>8.4561403508771925E-4</c:v>
                </c:pt>
                <c:pt idx="3">
                  <c:v>8.9941972920696319E-4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DAD-734C-97C5-3B109504612C}"/>
            </c:ext>
          </c:extLst>
        </c:ser>
        <c:ser>
          <c:idx val="1"/>
          <c:order val="3"/>
          <c:tx>
            <c:v>Euparkeria AMB</c:v>
          </c:tx>
          <c:spPr>
            <a:ln w="4762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Saurian_muscle_architecture!$K$149</c:f>
              <c:numCache>
                <c:formatCode>General</c:formatCode>
                <c:ptCount val="1"/>
                <c:pt idx="0">
                  <c:v>1.8150046349107482E-3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DAD-734C-97C5-3B1095046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5638536"/>
        <c:axId val="-2098363512"/>
      </c:scatterChart>
      <c:valAx>
        <c:axId val="-2105638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L</a:t>
                </a:r>
                <a:r>
                  <a:rPr lang="de-DE" sz="1000" b="1" i="0" baseline="-25000">
                    <a:effectLst/>
                  </a:rPr>
                  <a:t>o</a:t>
                </a:r>
                <a:r>
                  <a:rPr lang="de-DE" sz="1000" b="1" i="0" baseline="0">
                    <a:effectLst/>
                  </a:rPr>
                  <a:t>/M</a:t>
                </a:r>
                <a:r>
                  <a:rPr lang="de-DE" sz="1000" b="1" i="0" baseline="-25000">
                    <a:effectLst/>
                  </a:rPr>
                  <a:t>body</a:t>
                </a:r>
                <a:r>
                  <a:rPr lang="de-DE" sz="1000" b="1" i="0" baseline="30000">
                    <a:effectLst/>
                  </a:rPr>
                  <a:t>0.33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98363512"/>
        <c:crosses val="autoZero"/>
        <c:crossBetween val="midCat"/>
      </c:valAx>
      <c:valAx>
        <c:axId val="-2098363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M</a:t>
                </a:r>
                <a:r>
                  <a:rPr lang="de-DE" sz="1000" b="1" i="0" baseline="-25000">
                    <a:effectLst/>
                  </a:rPr>
                  <a:t>muscle</a:t>
                </a:r>
                <a:r>
                  <a:rPr lang="de-DE" sz="1000" b="1" i="0" baseline="0">
                    <a:effectLst/>
                  </a:rPr>
                  <a:t>*cos(θ)/M</a:t>
                </a:r>
                <a:r>
                  <a:rPr lang="de-DE" sz="1000" b="1" i="0" baseline="-25000">
                    <a:effectLst/>
                  </a:rPr>
                  <a:t>body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056385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IT1</c:v>
          </c:tx>
          <c:spPr>
            <a:ln w="47625">
              <a:noFill/>
            </a:ln>
          </c:spPr>
          <c:yVal>
            <c:numRef>
              <c:f>Saurian_muscle_architecture!$N$152:$N$158</c:f>
              <c:numCache>
                <c:formatCode>General</c:formatCode>
                <c:ptCount val="7"/>
                <c:pt idx="0">
                  <c:v>3.0643274853801167E-4</c:v>
                </c:pt>
                <c:pt idx="1">
                  <c:v>1.8866666666666665E-4</c:v>
                </c:pt>
                <c:pt idx="2">
                  <c:v>2.3278850916295195E-4</c:v>
                </c:pt>
                <c:pt idx="3">
                  <c:v>2.2924187725631767E-4</c:v>
                </c:pt>
                <c:pt idx="4">
                  <c:v>1.1294964028776978E-4</c:v>
                </c:pt>
                <c:pt idx="5">
                  <c:v>3.4324675324675323E-4</c:v>
                </c:pt>
                <c:pt idx="6">
                  <c:v>2.5883783783783783E-4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96-494E-B507-59D8EC183DF1}"/>
            </c:ext>
          </c:extLst>
        </c:ser>
        <c:ser>
          <c:idx val="1"/>
          <c:order val="1"/>
          <c:tx>
            <c:v>Croc IT2</c:v>
          </c:tx>
          <c:spPr>
            <a:ln w="47625">
              <a:noFill/>
            </a:ln>
          </c:spPr>
          <c:yVal>
            <c:numRef>
              <c:f>Saurian_muscle_architecture!$N$159:$N$165</c:f>
              <c:numCache>
                <c:formatCode>General</c:formatCode>
                <c:ptCount val="7"/>
                <c:pt idx="0">
                  <c:v>1.6792192196189608E-3</c:v>
                </c:pt>
                <c:pt idx="1">
                  <c:v>1.0110021207220929E-3</c:v>
                </c:pt>
                <c:pt idx="2">
                  <c:v>1.044234603181423E-3</c:v>
                </c:pt>
                <c:pt idx="3">
                  <c:v>1.9640490795656026E-3</c:v>
                </c:pt>
                <c:pt idx="4">
                  <c:v>7.4860072948484512E-4</c:v>
                </c:pt>
                <c:pt idx="5">
                  <c:v>1.6911297898087069E-3</c:v>
                </c:pt>
                <c:pt idx="6">
                  <c:v>1.4211777230798055E-3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96-494E-B507-59D8EC183DF1}"/>
            </c:ext>
          </c:extLst>
        </c:ser>
        <c:ser>
          <c:idx val="2"/>
          <c:order val="2"/>
          <c:tx>
            <c:v>Croc IT3</c:v>
          </c:tx>
          <c:spPr>
            <a:ln w="47625">
              <a:noFill/>
            </a:ln>
          </c:spPr>
          <c:yVal>
            <c:numRef>
              <c:f>Saurian_muscle_architecture!$N$166:$N$172</c:f>
              <c:numCache>
                <c:formatCode>General</c:formatCode>
                <c:ptCount val="7"/>
                <c:pt idx="0">
                  <c:v>4.1656249439611979E-4</c:v>
                </c:pt>
                <c:pt idx="1">
                  <c:v>1.0533149143482836E-4</c:v>
                </c:pt>
                <c:pt idx="2">
                  <c:v>3.7865553095429419E-4</c:v>
                </c:pt>
                <c:pt idx="3">
                  <c:v>2.9799715183253942E-4</c:v>
                </c:pt>
                <c:pt idx="4">
                  <c:v>2.2917683341469277E-4</c:v>
                </c:pt>
                <c:pt idx="5">
                  <c:v>3.8181818181818179E-4</c:v>
                </c:pt>
                <c:pt idx="6">
                  <c:v>2.1424738843487596E-4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E96-494E-B507-59D8EC183DF1}"/>
            </c:ext>
          </c:extLst>
        </c:ser>
        <c:ser>
          <c:idx val="3"/>
          <c:order val="3"/>
          <c:tx>
            <c:v>Varanus ILTB</c:v>
          </c:tx>
          <c:spPr>
            <a:ln w="47625">
              <a:noFill/>
            </a:ln>
          </c:spPr>
          <c:yVal>
            <c:numRef>
              <c:f>Saurian_muscle_architecture!$K$180:$K$188</c:f>
              <c:numCache>
                <c:formatCode>General</c:formatCode>
                <c:ptCount val="9"/>
                <c:pt idx="0">
                  <c:v>4.5000000000000004E-4</c:v>
                </c:pt>
                <c:pt idx="1">
                  <c:v>6.4000000000000005E-4</c:v>
                </c:pt>
                <c:pt idx="2">
                  <c:v>1.0199999999999999E-3</c:v>
                </c:pt>
                <c:pt idx="3">
                  <c:v>1.7178978783142405E-3</c:v>
                </c:pt>
                <c:pt idx="4">
                  <c:v>1.3194413507315701E-3</c:v>
                </c:pt>
                <c:pt idx="5">
                  <c:v>1.6489377950965093E-3</c:v>
                </c:pt>
                <c:pt idx="6">
                  <c:v>8.3964449592008989E-4</c:v>
                </c:pt>
                <c:pt idx="7">
                  <c:v>1.2798459259430438E-3</c:v>
                </c:pt>
                <c:pt idx="8">
                  <c:v>1.2795613759687134E-3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E96-494E-B507-59D8EC183DF1}"/>
            </c:ext>
          </c:extLst>
        </c:ser>
        <c:ser>
          <c:idx val="4"/>
          <c:order val="4"/>
          <c:tx>
            <c:v>Geckos ILTI</c:v>
          </c:tx>
          <c:spPr>
            <a:ln w="47625">
              <a:noFill/>
            </a:ln>
          </c:spPr>
          <c:yVal>
            <c:numRef>
              <c:f>Saurian_muscle_architecture!$K$189:$K$192</c:f>
              <c:numCache>
                <c:formatCode>General</c:formatCode>
                <c:ptCount val="4"/>
                <c:pt idx="0">
                  <c:v>2.1118780261666836E-3</c:v>
                </c:pt>
                <c:pt idx="1">
                  <c:v>2.9469069654164634E-3</c:v>
                </c:pt>
                <c:pt idx="2">
                  <c:v>1.0894736842105264E-3</c:v>
                </c:pt>
                <c:pt idx="3">
                  <c:v>1.1992263056092843E-3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E96-494E-B507-59D8EC183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6532504"/>
        <c:axId val="-2016529432"/>
      </c:scatterChart>
      <c:valAx>
        <c:axId val="-2016532504"/>
        <c:scaling>
          <c:orientation val="minMax"/>
        </c:scaling>
        <c:delete val="0"/>
        <c:axPos val="b"/>
        <c:majorTickMark val="out"/>
        <c:minorTickMark val="none"/>
        <c:tickLblPos val="nextTo"/>
        <c:crossAx val="-2016529432"/>
        <c:crosses val="autoZero"/>
        <c:crossBetween val="midCat"/>
      </c:valAx>
      <c:valAx>
        <c:axId val="-2016529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165325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ADD sum</c:v>
          </c:tx>
          <c:spPr>
            <a:ln w="47625">
              <a:noFill/>
            </a:ln>
          </c:spPr>
          <c:xVal>
            <c:numRef>
              <c:f>(Saurian_muscle_architecture!$M$237,Saurian_muscle_architecture!$M$240,Saurian_muscle_architecture!$M$243,Saurian_muscle_architecture!$M$246,Saurian_muscle_architecture!$M$249,Saurian_muscle_architecture!$M$252,Saurian_muscle_architecture!$M$255)</c:f>
              <c:numCache>
                <c:formatCode>General</c:formatCode>
                <c:ptCount val="7"/>
                <c:pt idx="0">
                  <c:v>4.1594056946205236E-2</c:v>
                </c:pt>
                <c:pt idx="1">
                  <c:v>2.8473132529901385E-2</c:v>
                </c:pt>
                <c:pt idx="2">
                  <c:v>2.9990592026288464E-2</c:v>
                </c:pt>
                <c:pt idx="3">
                  <c:v>4.531493545543374E-2</c:v>
                </c:pt>
                <c:pt idx="4">
                  <c:v>2.7321419903823446E-2</c:v>
                </c:pt>
                <c:pt idx="5">
                  <c:v>3.3447364272351496E-2</c:v>
                </c:pt>
                <c:pt idx="6">
                  <c:v>4.3251409364909947E-2</c:v>
                </c:pt>
              </c:numCache>
            </c:numRef>
          </c:xVal>
          <c:yVal>
            <c:numRef>
              <c:f>Saurian_muscle_architecture!$N$249:$N$255</c:f>
              <c:numCache>
                <c:formatCode>General</c:formatCode>
                <c:ptCount val="7"/>
                <c:pt idx="0">
                  <c:v>1.5637426900584795E-3</c:v>
                </c:pt>
                <c:pt idx="1">
                  <c:v>4.980732359537854E-4</c:v>
                </c:pt>
                <c:pt idx="2">
                  <c:v>1.5156017830609213E-3</c:v>
                </c:pt>
                <c:pt idx="3">
                  <c:v>1.2108303249097473E-3</c:v>
                </c:pt>
                <c:pt idx="4">
                  <c:v>1.1424460431654676E-3</c:v>
                </c:pt>
                <c:pt idx="5">
                  <c:v>1.5609090909090909E-3</c:v>
                </c:pt>
                <c:pt idx="6">
                  <c:v>1.3243228087566332E-3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4E-344F-81EE-ED02D4CA97D0}"/>
            </c:ext>
          </c:extLst>
        </c:ser>
        <c:ser>
          <c:idx val="3"/>
          <c:order val="1"/>
          <c:tx>
            <c:v>Varanus AFEM</c:v>
          </c:tx>
          <c:spPr>
            <a:ln w="47625">
              <a:noFill/>
            </a:ln>
          </c:spPr>
          <c:xVal>
            <c:numRef>
              <c:f>Saurian_muscle_architecture!$M$256:$M$261</c:f>
              <c:numCache>
                <c:formatCode>General</c:formatCode>
                <c:ptCount val="6"/>
                <c:pt idx="0">
                  <c:v>0</c:v>
                </c:pt>
                <c:pt idx="1">
                  <c:v>3.8969999999999998E-2</c:v>
                </c:pt>
                <c:pt idx="2">
                  <c:v>3.7690000000000001E-2</c:v>
                </c:pt>
                <c:pt idx="3">
                  <c:v>0</c:v>
                </c:pt>
                <c:pt idx="4">
                  <c:v>3.5959999999999999E-2</c:v>
                </c:pt>
                <c:pt idx="5">
                  <c:v>3.2999999999999995E-2</c:v>
                </c:pt>
              </c:numCache>
            </c:numRef>
          </c:xVal>
          <c:yVal>
            <c:numRef>
              <c:f>Saurian_muscle_architecture!$K$256:$K$261</c:f>
              <c:numCache>
                <c:formatCode>General</c:formatCode>
                <c:ptCount val="6"/>
                <c:pt idx="0">
                  <c:v>1.1100000000000001E-3</c:v>
                </c:pt>
                <c:pt idx="1">
                  <c:v>2.65E-3</c:v>
                </c:pt>
                <c:pt idx="2">
                  <c:v>2.0399999999999997E-3</c:v>
                </c:pt>
                <c:pt idx="3">
                  <c:v>7.2999999999999996E-4</c:v>
                </c:pt>
                <c:pt idx="4">
                  <c:v>1.41E-3</c:v>
                </c:pt>
                <c:pt idx="5">
                  <c:v>2.16E-3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4E-344F-81EE-ED02D4CA97D0}"/>
            </c:ext>
          </c:extLst>
        </c:ser>
        <c:ser>
          <c:idx val="2"/>
          <c:order val="2"/>
          <c:tx>
            <c:v>Geckos ADD</c:v>
          </c:tx>
          <c:spPr>
            <a:ln w="47625">
              <a:noFill/>
            </a:ln>
          </c:spPr>
          <c:xVal>
            <c:numRef>
              <c:f>Saurian_muscle_architecture!$M$262:$M$265</c:f>
              <c:numCache>
                <c:formatCode>General</c:formatCode>
                <c:ptCount val="4"/>
                <c:pt idx="0">
                  <c:v>1.8377801449492907E-2</c:v>
                </c:pt>
                <c:pt idx="1">
                  <c:v>2.9631846597387136E-2</c:v>
                </c:pt>
                <c:pt idx="2">
                  <c:v>1.939812765029137E-2</c:v>
                </c:pt>
                <c:pt idx="3">
                  <c:v>1.7433546789649392E-2</c:v>
                </c:pt>
              </c:numCache>
            </c:numRef>
          </c:xVal>
          <c:yVal>
            <c:numRef>
              <c:f>Saurian_muscle_architecture!$K$262:$K$265</c:f>
              <c:numCache>
                <c:formatCode>General</c:formatCode>
                <c:ptCount val="4"/>
                <c:pt idx="0">
                  <c:v>4.5946224374162974E-4</c:v>
                </c:pt>
                <c:pt idx="1">
                  <c:v>6.702386751095957E-4</c:v>
                </c:pt>
                <c:pt idx="2">
                  <c:v>3.7894736842105259E-4</c:v>
                </c:pt>
                <c:pt idx="3">
                  <c:v>3.4816247582205028E-4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4E-344F-81EE-ED02D4CA97D0}"/>
            </c:ext>
          </c:extLst>
        </c:ser>
        <c:ser>
          <c:idx val="1"/>
          <c:order val="3"/>
          <c:tx>
            <c:v>Euparkeria ADD sum</c:v>
          </c:tx>
          <c:spPr>
            <a:ln w="4762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Saurian_muscle_architecture!$K$268</c:f>
              <c:numCache>
                <c:formatCode>General</c:formatCode>
                <c:ptCount val="1"/>
                <c:pt idx="0">
                  <c:v>3.3807755147894948E-3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74E-344F-81EE-ED02D4CA9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7599336"/>
        <c:axId val="-2097602536"/>
      </c:scatterChart>
      <c:valAx>
        <c:axId val="-2097599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000" b="1" i="0" baseline="0">
                    <a:effectLst/>
                  </a:rPr>
                  <a:t>L</a:t>
                </a:r>
                <a:r>
                  <a:rPr lang="de-DE" sz="1000" b="1" i="0" baseline="-25000">
                    <a:effectLst/>
                  </a:rPr>
                  <a:t>o</a:t>
                </a:r>
                <a:r>
                  <a:rPr lang="de-DE" sz="1000" b="1" i="0" baseline="0">
                    <a:effectLst/>
                  </a:rPr>
                  <a:t>/M</a:t>
                </a:r>
                <a:r>
                  <a:rPr lang="de-DE" sz="1000" b="1" i="0" baseline="-25000">
                    <a:effectLst/>
                  </a:rPr>
                  <a:t>body</a:t>
                </a:r>
                <a:r>
                  <a:rPr lang="de-DE" sz="1000" b="1" i="0" baseline="30000">
                    <a:effectLst/>
                  </a:rPr>
                  <a:t>0.33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97602536"/>
        <c:crosses val="autoZero"/>
        <c:crossBetween val="midCat"/>
      </c:valAx>
      <c:valAx>
        <c:axId val="-2097602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M</a:t>
                </a:r>
                <a:r>
                  <a:rPr lang="de-DE" sz="1000" b="1" i="0" baseline="-25000">
                    <a:effectLst/>
                  </a:rPr>
                  <a:t>muscle</a:t>
                </a:r>
                <a:r>
                  <a:rPr lang="de-DE" sz="1000" b="1" i="0" baseline="0">
                    <a:effectLst/>
                  </a:rPr>
                  <a:t>*cos(θ)/M</a:t>
                </a:r>
                <a:r>
                  <a:rPr lang="de-DE" sz="1000" b="1" i="0" baseline="-25000">
                    <a:effectLst/>
                  </a:rPr>
                  <a:t>body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975993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ADD1</c:v>
          </c:tx>
          <c:spPr>
            <a:ln w="47625">
              <a:noFill/>
            </a:ln>
          </c:spPr>
          <c:yVal>
            <c:numRef>
              <c:f>Saurian_muscle_architecture!$N$235:$N$241</c:f>
              <c:numCache>
                <c:formatCode>General</c:formatCode>
                <c:ptCount val="7"/>
                <c:pt idx="0">
                  <c:v>1.1228070175438593E-3</c:v>
                </c:pt>
                <c:pt idx="1">
                  <c:v>1.9293995480942168E-4</c:v>
                </c:pt>
                <c:pt idx="2">
                  <c:v>1.2085190688459633E-3</c:v>
                </c:pt>
                <c:pt idx="3">
                  <c:v>1.0169675090252709E-3</c:v>
                </c:pt>
                <c:pt idx="4">
                  <c:v>9.6402877697841728E-4</c:v>
                </c:pt>
                <c:pt idx="5">
                  <c:v>1.0977922077922079E-3</c:v>
                </c:pt>
                <c:pt idx="6">
                  <c:v>1.12973419338992E-3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16-6341-B265-96760ABF53FC}"/>
            </c:ext>
          </c:extLst>
        </c:ser>
        <c:ser>
          <c:idx val="1"/>
          <c:order val="1"/>
          <c:tx>
            <c:v>Croc ADD2</c:v>
          </c:tx>
          <c:spPr>
            <a:ln w="47625">
              <a:noFill/>
            </a:ln>
          </c:spPr>
          <c:yVal>
            <c:numRef>
              <c:f>Saurian_muscle_architecture!$N$242:$N$248</c:f>
              <c:numCache>
                <c:formatCode>General</c:formatCode>
                <c:ptCount val="7"/>
                <c:pt idx="0">
                  <c:v>4.4093567251461983E-4</c:v>
                </c:pt>
                <c:pt idx="1">
                  <c:v>2.9988888888888887E-4</c:v>
                </c:pt>
                <c:pt idx="2">
                  <c:v>3.0708271421495787E-4</c:v>
                </c:pt>
                <c:pt idx="3">
                  <c:v>1.9386281588447654E-4</c:v>
                </c:pt>
                <c:pt idx="4">
                  <c:v>1.7841726618705034E-4</c:v>
                </c:pt>
                <c:pt idx="5">
                  <c:v>4.6311688311688313E-4</c:v>
                </c:pt>
                <c:pt idx="6">
                  <c:v>1.9229729729729729E-4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16-6341-B265-96760ABF53FC}"/>
            </c:ext>
          </c:extLst>
        </c:ser>
        <c:ser>
          <c:idx val="3"/>
          <c:order val="2"/>
          <c:tx>
            <c:v>Varanus AFEM</c:v>
          </c:tx>
          <c:spPr>
            <a:ln w="47625">
              <a:noFill/>
            </a:ln>
          </c:spPr>
          <c:yVal>
            <c:numRef>
              <c:f>Saurian_muscle_architecture!$K$256:$K$261</c:f>
              <c:numCache>
                <c:formatCode>General</c:formatCode>
                <c:ptCount val="6"/>
                <c:pt idx="0">
                  <c:v>1.1100000000000001E-3</c:v>
                </c:pt>
                <c:pt idx="1">
                  <c:v>2.65E-3</c:v>
                </c:pt>
                <c:pt idx="2">
                  <c:v>2.0399999999999997E-3</c:v>
                </c:pt>
                <c:pt idx="3">
                  <c:v>7.2999999999999996E-4</c:v>
                </c:pt>
                <c:pt idx="4">
                  <c:v>1.41E-3</c:v>
                </c:pt>
                <c:pt idx="5">
                  <c:v>2.16E-3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316-6341-B265-96760ABF53FC}"/>
            </c:ext>
          </c:extLst>
        </c:ser>
        <c:ser>
          <c:idx val="2"/>
          <c:order val="3"/>
          <c:tx>
            <c:v>Geckos ADD</c:v>
          </c:tx>
          <c:spPr>
            <a:ln w="47625">
              <a:noFill/>
            </a:ln>
          </c:spPr>
          <c:yVal>
            <c:numRef>
              <c:f>Saurian_muscle_architecture!$K$262:$K$265</c:f>
              <c:numCache>
                <c:formatCode>General</c:formatCode>
                <c:ptCount val="4"/>
                <c:pt idx="0">
                  <c:v>4.5946224374162974E-4</c:v>
                </c:pt>
                <c:pt idx="1">
                  <c:v>6.702386751095957E-4</c:v>
                </c:pt>
                <c:pt idx="2">
                  <c:v>3.7894736842105259E-4</c:v>
                </c:pt>
                <c:pt idx="3">
                  <c:v>3.4816247582205028E-4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316-6341-B265-96760ABF53FC}"/>
            </c:ext>
          </c:extLst>
        </c:ser>
        <c:ser>
          <c:idx val="4"/>
          <c:order val="4"/>
          <c:tx>
            <c:v>Euparkeria ADD1</c:v>
          </c:tx>
          <c:spPr>
            <a:ln w="47625">
              <a:noFill/>
            </a:ln>
          </c:spPr>
          <c:yVal>
            <c:numRef>
              <c:f>Saurian_muscle_architecture!$K$266</c:f>
              <c:numCache>
                <c:formatCode>General</c:formatCode>
                <c:ptCount val="1"/>
                <c:pt idx="0">
                  <c:v>1.5065303005717214E-3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316-6341-B265-96760ABF53FC}"/>
            </c:ext>
          </c:extLst>
        </c:ser>
        <c:ser>
          <c:idx val="5"/>
          <c:order val="5"/>
          <c:tx>
            <c:v>Euparkeria ADD2</c:v>
          </c:tx>
          <c:spPr>
            <a:ln w="47625">
              <a:noFill/>
            </a:ln>
          </c:spPr>
          <c:yVal>
            <c:numRef>
              <c:f>Saurian_muscle_architecture!$K$267</c:f>
              <c:numCache>
                <c:formatCode>General</c:formatCode>
                <c:ptCount val="1"/>
                <c:pt idx="0">
                  <c:v>1.8742452142177734E-3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316-6341-B265-96760ABF5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7588744"/>
        <c:axId val="-2097584024"/>
      </c:scatterChart>
      <c:valAx>
        <c:axId val="-2097588744"/>
        <c:scaling>
          <c:orientation val="minMax"/>
        </c:scaling>
        <c:delete val="0"/>
        <c:axPos val="b"/>
        <c:majorTickMark val="out"/>
        <c:minorTickMark val="none"/>
        <c:tickLblPos val="nextTo"/>
        <c:crossAx val="-2097584024"/>
        <c:crosses val="autoZero"/>
        <c:crossBetween val="midCat"/>
      </c:valAx>
      <c:valAx>
        <c:axId val="-2097584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75887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ISTR</c:v>
          </c:tx>
          <c:spPr>
            <a:ln w="47625">
              <a:noFill/>
            </a:ln>
          </c:spPr>
          <c:xVal>
            <c:numRef>
              <c:f>Saurian_muscle_architecture!$M$4:$M$10</c:f>
              <c:numCache>
                <c:formatCode>General</c:formatCode>
                <c:ptCount val="7"/>
                <c:pt idx="0">
                  <c:v>9.1691091148488231E-3</c:v>
                </c:pt>
                <c:pt idx="1">
                  <c:v>1.2231894642917062E-2</c:v>
                </c:pt>
                <c:pt idx="2">
                  <c:v>1.687782235245671E-2</c:v>
                </c:pt>
                <c:pt idx="3">
                  <c:v>1.2698875717599426E-2</c:v>
                </c:pt>
                <c:pt idx="4">
                  <c:v>8.7428543692235038E-3</c:v>
                </c:pt>
                <c:pt idx="5">
                  <c:v>9.4835514552703941E-3</c:v>
                </c:pt>
                <c:pt idx="6">
                  <c:v>1.2969903149093107E-2</c:v>
                </c:pt>
              </c:numCache>
            </c:numRef>
          </c:xVal>
          <c:yVal>
            <c:numRef>
              <c:f>Saurian_muscle_architecture!$K$4:$K$10</c:f>
              <c:numCache>
                <c:formatCode>General</c:formatCode>
                <c:ptCount val="7"/>
                <c:pt idx="0">
                  <c:v>3.5065880143052183E-4</c:v>
                </c:pt>
                <c:pt idx="1">
                  <c:v>2.1057756051120951E-4</c:v>
                </c:pt>
                <c:pt idx="2">
                  <c:v>4.8043585933630511E-4</c:v>
                </c:pt>
                <c:pt idx="3">
                  <c:v>4.2751807329617251E-4</c:v>
                </c:pt>
                <c:pt idx="4">
                  <c:v>1.9842186311193853E-4</c:v>
                </c:pt>
                <c:pt idx="5">
                  <c:v>3.7184979422528086E-4</c:v>
                </c:pt>
                <c:pt idx="6">
                  <c:v>4.3862538313369187E-4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AF-F94B-BA46-5A3EE14436C3}"/>
            </c:ext>
          </c:extLst>
        </c:ser>
        <c:ser>
          <c:idx val="1"/>
          <c:order val="1"/>
          <c:tx>
            <c:v>Euparkeria ISTR</c:v>
          </c:tx>
          <c:spPr>
            <a:ln w="4762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Saurian_muscle_architecture!$K$52</c:f>
              <c:numCache>
                <c:formatCode>General</c:formatCode>
                <c:ptCount val="1"/>
                <c:pt idx="0">
                  <c:v>6.9843706580793299E-4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AF-F94B-BA46-5A3EE1443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8098824"/>
        <c:axId val="-2118092856"/>
      </c:scatterChart>
      <c:valAx>
        <c:axId val="-2118098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L</a:t>
                </a:r>
                <a:r>
                  <a:rPr lang="de-DE" baseline="-25000"/>
                  <a:t>o</a:t>
                </a:r>
                <a:r>
                  <a:rPr lang="de-DE"/>
                  <a:t>/M</a:t>
                </a:r>
                <a:r>
                  <a:rPr lang="de-DE" baseline="-25000"/>
                  <a:t>body</a:t>
                </a:r>
                <a:r>
                  <a:rPr lang="de-DE" baseline="30000"/>
                  <a:t>0.33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18092856"/>
        <c:crosses val="autoZero"/>
        <c:crossBetween val="midCat"/>
      </c:valAx>
      <c:valAx>
        <c:axId val="-2118092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M</a:t>
                </a:r>
                <a:r>
                  <a:rPr lang="de-DE" baseline="-25000"/>
                  <a:t>muscle</a:t>
                </a:r>
                <a:r>
                  <a:rPr lang="de-DE"/>
                  <a:t>*cos(θ)/M</a:t>
                </a:r>
                <a:r>
                  <a:rPr lang="de-DE" baseline="-25000"/>
                  <a:t>body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180988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IT sum</c:v>
          </c:tx>
          <c:spPr>
            <a:ln w="47625">
              <a:noFill/>
            </a:ln>
          </c:spPr>
          <c:xVal>
            <c:numRef>
              <c:f>(Saurian_muscle_architecture!$M$159,Saurian_muscle_architecture!$M$163,Saurian_muscle_architecture!$M$167,Saurian_muscle_architecture!$M$171,Saurian_muscle_architecture!$M$175,Saurian_muscle_architecture!$M$179)</c:f>
              <c:numCache>
                <c:formatCode>General</c:formatCode>
                <c:ptCount val="6"/>
                <c:pt idx="0">
                  <c:v>1.6409866887205606E-2</c:v>
                </c:pt>
                <c:pt idx="1">
                  <c:v>1.1672281538988378E-2</c:v>
                </c:pt>
                <c:pt idx="2">
                  <c:v>2.3336968972255089E-2</c:v>
                </c:pt>
                <c:pt idx="3">
                  <c:v>1.5664280744858775E-2</c:v>
                </c:pt>
                <c:pt idx="4">
                  <c:v>2.5274902928580603E-2</c:v>
                </c:pt>
                <c:pt idx="5">
                  <c:v>2.3396866292586221E-2</c:v>
                </c:pt>
              </c:numCache>
            </c:numRef>
          </c:xVal>
          <c:yVal>
            <c:numRef>
              <c:f>Saurian_muscle_architecture!$N$173:$N$179</c:f>
              <c:numCache>
                <c:formatCode>General</c:formatCode>
                <c:ptCount val="7"/>
                <c:pt idx="0">
                  <c:v>2.614544120617384E-3</c:v>
                </c:pt>
                <c:pt idx="1">
                  <c:v>1.3437580463123136E-3</c:v>
                </c:pt>
                <c:pt idx="2">
                  <c:v>1.6869487365855512E-3</c:v>
                </c:pt>
                <c:pt idx="3">
                  <c:v>2.5018922687893366E-3</c:v>
                </c:pt>
                <c:pt idx="4">
                  <c:v>1.183276611771829E-3</c:v>
                </c:pt>
                <c:pt idx="5">
                  <c:v>2.6104926338986869E-3</c:v>
                </c:pt>
                <c:pt idx="6">
                  <c:v>1.9156446724256063E-3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80-3D44-9E28-17F849AB53AE}"/>
            </c:ext>
          </c:extLst>
        </c:ser>
        <c:ser>
          <c:idx val="1"/>
          <c:order val="1"/>
          <c:tx>
            <c:v>Varaus ILTB</c:v>
          </c:tx>
          <c:spPr>
            <a:ln w="47625">
              <a:noFill/>
            </a:ln>
          </c:spPr>
          <c:xVal>
            <c:numRef>
              <c:f>Saurian_muscle_architecture!$M$180:$M$188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3.3840000000000002E-2</c:v>
                </c:pt>
                <c:pt idx="4">
                  <c:v>3.4599999999999999E-2</c:v>
                </c:pt>
                <c:pt idx="5">
                  <c:v>3.8890000000000001E-2</c:v>
                </c:pt>
                <c:pt idx="6">
                  <c:v>3.7850000000000002E-2</c:v>
                </c:pt>
                <c:pt idx="7">
                  <c:v>3.8879999999999998E-2</c:v>
                </c:pt>
                <c:pt idx="8">
                  <c:v>3.9660000000000001E-2</c:v>
                </c:pt>
              </c:numCache>
            </c:numRef>
          </c:xVal>
          <c:yVal>
            <c:numRef>
              <c:f>Saurian_muscle_architecture!$K$180:$K$188</c:f>
              <c:numCache>
                <c:formatCode>General</c:formatCode>
                <c:ptCount val="9"/>
                <c:pt idx="0">
                  <c:v>4.5000000000000004E-4</c:v>
                </c:pt>
                <c:pt idx="1">
                  <c:v>6.4000000000000005E-4</c:v>
                </c:pt>
                <c:pt idx="2">
                  <c:v>1.0199999999999999E-3</c:v>
                </c:pt>
                <c:pt idx="3">
                  <c:v>1.7178978783142405E-3</c:v>
                </c:pt>
                <c:pt idx="4">
                  <c:v>1.3194413507315701E-3</c:v>
                </c:pt>
                <c:pt idx="5">
                  <c:v>1.6489377950965093E-3</c:v>
                </c:pt>
                <c:pt idx="6">
                  <c:v>8.3964449592008989E-4</c:v>
                </c:pt>
                <c:pt idx="7">
                  <c:v>1.2798459259430438E-3</c:v>
                </c:pt>
                <c:pt idx="8">
                  <c:v>1.2795613759687134E-3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80-3D44-9E28-17F849AB53AE}"/>
            </c:ext>
          </c:extLst>
        </c:ser>
        <c:ser>
          <c:idx val="2"/>
          <c:order val="2"/>
          <c:tx>
            <c:v>Geckos ILTI</c:v>
          </c:tx>
          <c:spPr>
            <a:ln w="47625">
              <a:noFill/>
            </a:ln>
          </c:spPr>
          <c:xVal>
            <c:numRef>
              <c:f>Saurian_muscle_architecture!$M$189:$M$192</c:f>
              <c:numCache>
                <c:formatCode>General</c:formatCode>
                <c:ptCount val="4"/>
                <c:pt idx="0">
                  <c:v>1.852245754642853E-3</c:v>
                </c:pt>
                <c:pt idx="1">
                  <c:v>2.556223676426959E-3</c:v>
                </c:pt>
                <c:pt idx="2">
                  <c:v>1.37796968873106E-3</c:v>
                </c:pt>
                <c:pt idx="3">
                  <c:v>1.3898462595376836E-3</c:v>
                </c:pt>
              </c:numCache>
            </c:numRef>
          </c:xVal>
          <c:yVal>
            <c:numRef>
              <c:f>Saurian_muscle_architecture!$K$189:$K$192</c:f>
              <c:numCache>
                <c:formatCode>General</c:formatCode>
                <c:ptCount val="4"/>
                <c:pt idx="0">
                  <c:v>2.1118780261666836E-3</c:v>
                </c:pt>
                <c:pt idx="1">
                  <c:v>2.9469069654164634E-3</c:v>
                </c:pt>
                <c:pt idx="2">
                  <c:v>1.0894736842105264E-3</c:v>
                </c:pt>
                <c:pt idx="3">
                  <c:v>1.1992263056092843E-3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80-3D44-9E28-17F849AB5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9065208"/>
        <c:axId val="-2097954760"/>
      </c:scatterChart>
      <c:valAx>
        <c:axId val="-2109065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97954760"/>
        <c:crosses val="autoZero"/>
        <c:crossBetween val="midCat"/>
      </c:valAx>
      <c:valAx>
        <c:axId val="-2097954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090652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IT sum</c:v>
          </c:tx>
          <c:spPr>
            <a:ln w="47625">
              <a:noFill/>
            </a:ln>
          </c:spPr>
          <c:xVal>
            <c:numRef>
              <c:f>(Saurian_muscle_architecture!$M$155,Saurian_muscle_architecture!$M$159,Saurian_muscle_architecture!$M$163,Saurian_muscle_architecture!$M$167,Saurian_muscle_architecture!$M$171,Saurian_muscle_architecture!$M$175,Saurian_muscle_architecture!$M$179)</c:f>
              <c:numCache>
                <c:formatCode>General</c:formatCode>
                <c:ptCount val="7"/>
                <c:pt idx="0">
                  <c:v>2.0084507880002257E-2</c:v>
                </c:pt>
                <c:pt idx="1">
                  <c:v>1.6409866887205606E-2</c:v>
                </c:pt>
                <c:pt idx="2">
                  <c:v>1.1672281538988378E-2</c:v>
                </c:pt>
                <c:pt idx="3">
                  <c:v>2.3336968972255089E-2</c:v>
                </c:pt>
                <c:pt idx="4">
                  <c:v>1.5664280744858775E-2</c:v>
                </c:pt>
                <c:pt idx="5">
                  <c:v>2.5274902928580603E-2</c:v>
                </c:pt>
                <c:pt idx="6">
                  <c:v>2.3396866292586221E-2</c:v>
                </c:pt>
              </c:numCache>
            </c:numRef>
          </c:xVal>
          <c:yVal>
            <c:numRef>
              <c:f>Saurian_muscle_architecture!$N$173:$N$179</c:f>
              <c:numCache>
                <c:formatCode>General</c:formatCode>
                <c:ptCount val="7"/>
                <c:pt idx="0">
                  <c:v>2.614544120617384E-3</c:v>
                </c:pt>
                <c:pt idx="1">
                  <c:v>1.3437580463123136E-3</c:v>
                </c:pt>
                <c:pt idx="2">
                  <c:v>1.6869487365855512E-3</c:v>
                </c:pt>
                <c:pt idx="3">
                  <c:v>2.5018922687893366E-3</c:v>
                </c:pt>
                <c:pt idx="4">
                  <c:v>1.183276611771829E-3</c:v>
                </c:pt>
                <c:pt idx="5">
                  <c:v>2.6104926338986869E-3</c:v>
                </c:pt>
                <c:pt idx="6">
                  <c:v>1.9156446724256063E-3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FB-E047-9B29-674EE6D7C1E9}"/>
            </c:ext>
          </c:extLst>
        </c:ser>
        <c:ser>
          <c:idx val="3"/>
          <c:order val="1"/>
          <c:tx>
            <c:v>Varanus ILTB</c:v>
          </c:tx>
          <c:spPr>
            <a:ln w="47625">
              <a:noFill/>
            </a:ln>
          </c:spPr>
          <c:xVal>
            <c:numRef>
              <c:f>Saurian_muscle_architecture!$M$180:$M$188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3.3840000000000002E-2</c:v>
                </c:pt>
                <c:pt idx="4">
                  <c:v>3.4599999999999999E-2</c:v>
                </c:pt>
                <c:pt idx="5">
                  <c:v>3.8890000000000001E-2</c:v>
                </c:pt>
                <c:pt idx="6">
                  <c:v>3.7850000000000002E-2</c:v>
                </c:pt>
                <c:pt idx="7">
                  <c:v>3.8879999999999998E-2</c:v>
                </c:pt>
                <c:pt idx="8">
                  <c:v>3.9660000000000001E-2</c:v>
                </c:pt>
              </c:numCache>
            </c:numRef>
          </c:xVal>
          <c:yVal>
            <c:numRef>
              <c:f>Saurian_muscle_architecture!$K$180:$K$188</c:f>
              <c:numCache>
                <c:formatCode>General</c:formatCode>
                <c:ptCount val="9"/>
                <c:pt idx="0">
                  <c:v>4.5000000000000004E-4</c:v>
                </c:pt>
                <c:pt idx="1">
                  <c:v>6.4000000000000005E-4</c:v>
                </c:pt>
                <c:pt idx="2">
                  <c:v>1.0199999999999999E-3</c:v>
                </c:pt>
                <c:pt idx="3">
                  <c:v>1.7178978783142405E-3</c:v>
                </c:pt>
                <c:pt idx="4">
                  <c:v>1.3194413507315701E-3</c:v>
                </c:pt>
                <c:pt idx="5">
                  <c:v>1.6489377950965093E-3</c:v>
                </c:pt>
                <c:pt idx="6">
                  <c:v>8.3964449592008989E-4</c:v>
                </c:pt>
                <c:pt idx="7">
                  <c:v>1.2798459259430438E-3</c:v>
                </c:pt>
                <c:pt idx="8">
                  <c:v>1.2795613759687134E-3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FB-E047-9B29-674EE6D7C1E9}"/>
            </c:ext>
          </c:extLst>
        </c:ser>
        <c:ser>
          <c:idx val="2"/>
          <c:order val="2"/>
          <c:tx>
            <c:v>Geckos ILTI</c:v>
          </c:tx>
          <c:spPr>
            <a:ln w="47625">
              <a:noFill/>
            </a:ln>
          </c:spPr>
          <c:xVal>
            <c:numRef>
              <c:f>Saurian_muscle_architecture!$M$189:$M$192</c:f>
              <c:numCache>
                <c:formatCode>General</c:formatCode>
                <c:ptCount val="4"/>
                <c:pt idx="0">
                  <c:v>1.852245754642853E-3</c:v>
                </c:pt>
                <c:pt idx="1">
                  <c:v>2.556223676426959E-3</c:v>
                </c:pt>
                <c:pt idx="2">
                  <c:v>1.37796968873106E-3</c:v>
                </c:pt>
                <c:pt idx="3">
                  <c:v>1.3898462595376836E-3</c:v>
                </c:pt>
              </c:numCache>
            </c:numRef>
          </c:xVal>
          <c:yVal>
            <c:numRef>
              <c:f>Saurian_muscle_architecture!$K$189:$K$192</c:f>
              <c:numCache>
                <c:formatCode>General</c:formatCode>
                <c:ptCount val="4"/>
                <c:pt idx="0">
                  <c:v>2.1118780261666836E-3</c:v>
                </c:pt>
                <c:pt idx="1">
                  <c:v>2.9469069654164634E-3</c:v>
                </c:pt>
                <c:pt idx="2">
                  <c:v>1.0894736842105264E-3</c:v>
                </c:pt>
                <c:pt idx="3">
                  <c:v>1.1992263056092843E-3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1FB-E047-9B29-674EE6D7C1E9}"/>
            </c:ext>
          </c:extLst>
        </c:ser>
        <c:ser>
          <c:idx val="1"/>
          <c:order val="3"/>
          <c:tx>
            <c:v>Euparkeria IT sum</c:v>
          </c:tx>
          <c:spPr>
            <a:ln w="4762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Saurian_muscle_architecture!$K$196</c:f>
              <c:numCache>
                <c:formatCode>General</c:formatCode>
                <c:ptCount val="1"/>
                <c:pt idx="0">
                  <c:v>9.9689256667716535E-3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1FB-E047-9B29-674EE6D7C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8013176"/>
        <c:axId val="-2118106984"/>
      </c:scatterChart>
      <c:valAx>
        <c:axId val="-2098013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000" b="1" i="0" baseline="0">
                    <a:effectLst/>
                  </a:rPr>
                  <a:t>L</a:t>
                </a:r>
                <a:r>
                  <a:rPr lang="de-DE" sz="1000" b="1" i="0" baseline="-25000">
                    <a:effectLst/>
                  </a:rPr>
                  <a:t>o</a:t>
                </a:r>
                <a:r>
                  <a:rPr lang="de-DE" sz="1000" b="1" i="0" baseline="0">
                    <a:effectLst/>
                  </a:rPr>
                  <a:t>/M</a:t>
                </a:r>
                <a:r>
                  <a:rPr lang="de-DE" sz="1000" b="1" i="0" baseline="-25000">
                    <a:effectLst/>
                  </a:rPr>
                  <a:t>body</a:t>
                </a:r>
                <a:r>
                  <a:rPr lang="de-DE" sz="1000" b="1" i="0" baseline="30000">
                    <a:effectLst/>
                  </a:rPr>
                  <a:t>0.33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18106984"/>
        <c:crosses val="autoZero"/>
        <c:crossBetween val="midCat"/>
      </c:valAx>
      <c:valAx>
        <c:axId val="-2118106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M</a:t>
                </a:r>
                <a:r>
                  <a:rPr lang="de-DE" sz="1000" b="1" i="0" baseline="-25000">
                    <a:effectLst/>
                  </a:rPr>
                  <a:t>muscle</a:t>
                </a:r>
                <a:r>
                  <a:rPr lang="de-DE" sz="1000" b="1" i="0" baseline="0">
                    <a:effectLst/>
                  </a:rPr>
                  <a:t>*cos(θ)/M</a:t>
                </a:r>
                <a:r>
                  <a:rPr lang="de-DE" sz="1000" b="1" i="0" baseline="-25000">
                    <a:effectLst/>
                  </a:rPr>
                  <a:t>body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980131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Croc PP</c:v>
          </c:tx>
          <c:spPr>
            <a:ln w="47625">
              <a:noFill/>
            </a:ln>
          </c:spPr>
          <c:xVal>
            <c:numRef>
              <c:f>Saurian_muscle_architecture!$M$509:$M$515</c:f>
              <c:numCache>
                <c:formatCode>General</c:formatCode>
                <c:ptCount val="7"/>
                <c:pt idx="0">
                  <c:v>5.2898706431820132E-3</c:v>
                </c:pt>
                <c:pt idx="1">
                  <c:v>6.1159473214585309E-3</c:v>
                </c:pt>
                <c:pt idx="2">
                  <c:v>2.9675292048275534E-3</c:v>
                </c:pt>
                <c:pt idx="3">
                  <c:v>8.3067833641439857E-3</c:v>
                </c:pt>
                <c:pt idx="4">
                  <c:v>2.1076523925806661E-3</c:v>
                </c:pt>
                <c:pt idx="5">
                  <c:v>9.3815777837083468E-3</c:v>
                </c:pt>
                <c:pt idx="6">
                  <c:v>6.807581135182132E-3</c:v>
                </c:pt>
              </c:numCache>
            </c:numRef>
          </c:xVal>
          <c:yVal>
            <c:numRef>
              <c:f>Saurian_muscle_architecture!$K$509:$K$515</c:f>
              <c:numCache>
                <c:formatCode>General</c:formatCode>
                <c:ptCount val="7"/>
                <c:pt idx="0">
                  <c:v>1.0742950007137455E-4</c:v>
                </c:pt>
                <c:pt idx="1">
                  <c:v>7.5888888888888889E-5</c:v>
                </c:pt>
                <c:pt idx="2">
                  <c:v>9.5539490157230079E-5</c:v>
                </c:pt>
                <c:pt idx="3">
                  <c:v>1.3624801079981967E-4</c:v>
                </c:pt>
                <c:pt idx="4">
                  <c:v>7.0378729180931601E-5</c:v>
                </c:pt>
                <c:pt idx="5">
                  <c:v>1.9985852238808201E-4</c:v>
                </c:pt>
                <c:pt idx="6">
                  <c:v>8.5223968381348695E-5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A3-274D-BDE9-66483EA681AC}"/>
            </c:ext>
          </c:extLst>
        </c:ser>
        <c:ser>
          <c:idx val="1"/>
          <c:order val="1"/>
          <c:tx>
            <c:v>Euparkeria PP</c:v>
          </c:tx>
          <c:spPr>
            <a:ln w="4762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Saurian_muscle_architecture!$K$516</c:f>
              <c:numCache>
                <c:formatCode>General</c:formatCode>
                <c:ptCount val="1"/>
                <c:pt idx="0">
                  <c:v>4.8867147388678494E-4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A3-274D-BDE9-66483EA68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8557128"/>
        <c:axId val="-2018905704"/>
      </c:scatterChart>
      <c:valAx>
        <c:axId val="-2108557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L</a:t>
                </a:r>
                <a:r>
                  <a:rPr lang="de-DE" sz="1000" b="1" i="0" baseline="-25000">
                    <a:effectLst/>
                  </a:rPr>
                  <a:t>o</a:t>
                </a:r>
                <a:r>
                  <a:rPr lang="de-DE" sz="1000" b="1" i="0" baseline="0">
                    <a:effectLst/>
                  </a:rPr>
                  <a:t>/M</a:t>
                </a:r>
                <a:r>
                  <a:rPr lang="de-DE" sz="1000" b="1" i="0" baseline="-25000">
                    <a:effectLst/>
                  </a:rPr>
                  <a:t>body</a:t>
                </a:r>
                <a:r>
                  <a:rPr lang="de-DE" sz="1000" b="1" i="0" baseline="30000">
                    <a:effectLst/>
                  </a:rPr>
                  <a:t>0.33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18905704"/>
        <c:crosses val="autoZero"/>
        <c:crossBetween val="midCat"/>
      </c:valAx>
      <c:valAx>
        <c:axId val="-2018905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M</a:t>
                </a:r>
                <a:r>
                  <a:rPr lang="de-DE" sz="1000" b="1" i="0" baseline="-25000">
                    <a:effectLst/>
                  </a:rPr>
                  <a:t>muscle</a:t>
                </a:r>
                <a:r>
                  <a:rPr lang="de-DE" sz="1000" b="1" i="0" baseline="0">
                    <a:effectLst/>
                  </a:rPr>
                  <a:t>*cos(θ)/M</a:t>
                </a:r>
                <a:r>
                  <a:rPr lang="de-DE" sz="1000" b="1" i="0" baseline="-25000">
                    <a:effectLst/>
                  </a:rPr>
                  <a:t>body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085571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EDB</c:v>
          </c:tx>
          <c:spPr>
            <a:ln w="47625">
              <a:noFill/>
            </a:ln>
          </c:spPr>
          <c:yVal>
            <c:numRef>
              <c:f>Saurian_muscle_architecture!$K$588:$K$594</c:f>
              <c:numCache>
                <c:formatCode>General</c:formatCode>
                <c:ptCount val="7"/>
                <c:pt idx="0">
                  <c:v>2.2780915388708687E-4</c:v>
                </c:pt>
                <c:pt idx="1">
                  <c:v>5.0816488726277971E-4</c:v>
                </c:pt>
                <c:pt idx="2">
                  <c:v>2.4764735017335313E-4</c:v>
                </c:pt>
                <c:pt idx="3">
                  <c:v>6.3357400722021664E-4</c:v>
                </c:pt>
                <c:pt idx="4">
                  <c:v>2.8623677590581967E-4</c:v>
                </c:pt>
                <c:pt idx="5">
                  <c:v>3.5324675324675326E-4</c:v>
                </c:pt>
                <c:pt idx="6">
                  <c:v>1.0567567567567567E-3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A4-2C4F-97C6-78DF17F2CFC4}"/>
            </c:ext>
          </c:extLst>
        </c:ser>
        <c:ser>
          <c:idx val="1"/>
          <c:order val="1"/>
          <c:tx>
            <c:v>Euparkeria EDB</c:v>
          </c:tx>
          <c:spPr>
            <a:ln w="47625">
              <a:noFill/>
            </a:ln>
          </c:spPr>
          <c:yVal>
            <c:numRef>
              <c:f>Saurian_muscle_architecture!$K$595</c:f>
              <c:numCache>
                <c:formatCode>General</c:formatCode>
                <c:ptCount val="1"/>
                <c:pt idx="0">
                  <c:v>3.9935419326339036E-4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A4-2C4F-97C6-78DF17F2C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6553048"/>
        <c:axId val="-2016522216"/>
      </c:scatterChart>
      <c:valAx>
        <c:axId val="-2016553048"/>
        <c:scaling>
          <c:orientation val="minMax"/>
        </c:scaling>
        <c:delete val="0"/>
        <c:axPos val="b"/>
        <c:majorTickMark val="out"/>
        <c:minorTickMark val="none"/>
        <c:tickLblPos val="nextTo"/>
        <c:crossAx val="-2016522216"/>
        <c:crosses val="autoZero"/>
        <c:crossBetween val="midCat"/>
      </c:valAx>
      <c:valAx>
        <c:axId val="-2016522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165530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AHD</c:v>
          </c:tx>
          <c:spPr>
            <a:ln w="47625">
              <a:noFill/>
            </a:ln>
          </c:spPr>
          <c:yVal>
            <c:numRef>
              <c:f>Saurian_muscle_architecture!$K$598:$K$603</c:f>
              <c:numCache>
                <c:formatCode>General</c:formatCode>
                <c:ptCount val="6"/>
                <c:pt idx="0">
                  <c:v>1.0008120595524933E-4</c:v>
                </c:pt>
                <c:pt idx="1">
                  <c:v>5.4444444444444452E-5</c:v>
                </c:pt>
                <c:pt idx="2">
                  <c:v>7.9247152055472999E-5</c:v>
                </c:pt>
                <c:pt idx="3">
                  <c:v>9.2779783393501803E-5</c:v>
                </c:pt>
                <c:pt idx="4">
                  <c:v>8.9350649350649331E-5</c:v>
                </c:pt>
                <c:pt idx="5">
                  <c:v>1.8154054054054052E-4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EC-AB44-8CC1-DBA1FD27145E}"/>
            </c:ext>
          </c:extLst>
        </c:ser>
        <c:ser>
          <c:idx val="1"/>
          <c:order val="1"/>
          <c:tx>
            <c:v>Euparkeria AHD</c:v>
          </c:tx>
          <c:spPr>
            <a:ln w="47625">
              <a:noFill/>
            </a:ln>
          </c:spPr>
          <c:yVal>
            <c:numRef>
              <c:f>Saurian_muscle_architecture!$K$604</c:f>
              <c:numCache>
                <c:formatCode>General</c:formatCode>
                <c:ptCount val="1"/>
                <c:pt idx="0">
                  <c:v>2.1374196796288357E-5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EC-AB44-8CC1-DBA1FD271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6486504"/>
        <c:axId val="-2016483512"/>
      </c:scatterChart>
      <c:valAx>
        <c:axId val="-2016486504"/>
        <c:scaling>
          <c:orientation val="minMax"/>
        </c:scaling>
        <c:delete val="0"/>
        <c:axPos val="b"/>
        <c:majorTickMark val="out"/>
        <c:minorTickMark val="none"/>
        <c:tickLblPos val="nextTo"/>
        <c:crossAx val="-2016483512"/>
        <c:crosses val="autoZero"/>
        <c:crossBetween val="midCat"/>
      </c:valAx>
      <c:valAx>
        <c:axId val="-2016483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164865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ILFB</c:v>
          </c:tx>
          <c:spPr>
            <a:ln w="47625">
              <a:noFill/>
            </a:ln>
          </c:spPr>
          <c:yVal>
            <c:numRef>
              <c:f>Saurian_muscle_architecture!$K$294:$K$300</c:f>
              <c:numCache>
                <c:formatCode>General</c:formatCode>
                <c:ptCount val="7"/>
                <c:pt idx="0">
                  <c:v>5.2046783625730986E-4</c:v>
                </c:pt>
                <c:pt idx="1">
                  <c:v>5.0633333333333335E-4</c:v>
                </c:pt>
                <c:pt idx="2">
                  <c:v>3.3184744923229321E-4</c:v>
                </c:pt>
                <c:pt idx="3">
                  <c:v>4.7075812274368229E-4</c:v>
                </c:pt>
                <c:pt idx="4">
                  <c:v>3.143884892086331E-4</c:v>
                </c:pt>
                <c:pt idx="5">
                  <c:v>6.0519480519480523E-4</c:v>
                </c:pt>
                <c:pt idx="6">
                  <c:v>4.8735135135135135E-4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E6-3644-86E5-9B4665DA7B65}"/>
            </c:ext>
          </c:extLst>
        </c:ser>
        <c:ser>
          <c:idx val="3"/>
          <c:order val="1"/>
          <c:tx>
            <c:v>Varanus ILFIB</c:v>
          </c:tx>
          <c:spPr>
            <a:ln w="47625">
              <a:noFill/>
            </a:ln>
          </c:spPr>
          <c:yVal>
            <c:numRef>
              <c:f>Saurian_muscle_architecture!$K$301:$K$309</c:f>
              <c:numCache>
                <c:formatCode>General</c:formatCode>
                <c:ptCount val="9"/>
                <c:pt idx="0">
                  <c:v>5.1999999999999995E-4</c:v>
                </c:pt>
                <c:pt idx="1">
                  <c:v>1.5E-3</c:v>
                </c:pt>
                <c:pt idx="2">
                  <c:v>7.4999999999999991E-4</c:v>
                </c:pt>
                <c:pt idx="3">
                  <c:v>1.6592972455011156E-3</c:v>
                </c:pt>
                <c:pt idx="4">
                  <c:v>2.3399824350870224E-3</c:v>
                </c:pt>
                <c:pt idx="5">
                  <c:v>4.2897560727405207E-3</c:v>
                </c:pt>
                <c:pt idx="6">
                  <c:v>1.1196969017201451E-3</c:v>
                </c:pt>
                <c:pt idx="7">
                  <c:v>1.8199453538091674E-3</c:v>
                </c:pt>
                <c:pt idx="8">
                  <c:v>1.5799733148854761E-3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EE6-3644-86E5-9B4665DA7B65}"/>
            </c:ext>
          </c:extLst>
        </c:ser>
        <c:ser>
          <c:idx val="2"/>
          <c:order val="2"/>
          <c:tx>
            <c:v>Geckos ILFI</c:v>
          </c:tx>
          <c:spPr>
            <a:ln w="47625">
              <a:noFill/>
            </a:ln>
          </c:spPr>
          <c:yVal>
            <c:numRef>
              <c:f>Saurian_muscle_architecture!$K$310:$K$313</c:f>
              <c:numCache>
                <c:formatCode>General</c:formatCode>
                <c:ptCount val="4"/>
                <c:pt idx="0">
                  <c:v>1.4834655403317193E-3</c:v>
                </c:pt>
                <c:pt idx="1">
                  <c:v>1.5411592791037506E-3</c:v>
                </c:pt>
                <c:pt idx="2">
                  <c:v>5.0250810310980697E-4</c:v>
                </c:pt>
                <c:pt idx="3">
                  <c:v>5.7446808510638295E-4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EE6-3644-86E5-9B4665DA7B65}"/>
            </c:ext>
          </c:extLst>
        </c:ser>
        <c:ser>
          <c:idx val="1"/>
          <c:order val="3"/>
          <c:tx>
            <c:v>Euparkeria ILFB</c:v>
          </c:tx>
          <c:spPr>
            <a:ln w="47625">
              <a:noFill/>
            </a:ln>
          </c:spPr>
          <c:yVal>
            <c:numRef>
              <c:f>Saurian_muscle_architecture!$K$314</c:f>
              <c:numCache>
                <c:formatCode>General</c:formatCode>
                <c:ptCount val="1"/>
                <c:pt idx="0">
                  <c:v>4.0408963175166462E-3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EE6-3644-86E5-9B4665DA7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7890504"/>
        <c:axId val="-2097894344"/>
      </c:scatterChart>
      <c:valAx>
        <c:axId val="-2097890504"/>
        <c:scaling>
          <c:orientation val="minMax"/>
        </c:scaling>
        <c:delete val="0"/>
        <c:axPos val="b"/>
        <c:majorTickMark val="out"/>
        <c:minorTickMark val="none"/>
        <c:tickLblPos val="nextTo"/>
        <c:crossAx val="-2097894344"/>
        <c:crosses val="autoZero"/>
        <c:crossBetween val="midCat"/>
      </c:valAx>
      <c:valAx>
        <c:axId val="-2097894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78905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FDB</c:v>
          </c:tx>
          <c:spPr>
            <a:ln w="47625">
              <a:noFill/>
            </a:ln>
          </c:spPr>
          <c:yVal>
            <c:numRef>
              <c:f>Saurian_muscle_architecture!$K$607:$K$612</c:f>
              <c:numCache>
                <c:formatCode>General</c:formatCode>
                <c:ptCount val="6"/>
                <c:pt idx="0">
                  <c:v>4.7987067439573644E-4</c:v>
                </c:pt>
                <c:pt idx="1">
                  <c:v>7.9435851770874805E-4</c:v>
                </c:pt>
                <c:pt idx="2">
                  <c:v>1.2105554080673875E-3</c:v>
                </c:pt>
                <c:pt idx="3">
                  <c:v>4.6860281388429821E-4</c:v>
                </c:pt>
                <c:pt idx="4">
                  <c:v>1.11784744180631E-3</c:v>
                </c:pt>
                <c:pt idx="5">
                  <c:v>7.0218275982522063E-4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BA-D24D-AEAF-7D92BAC7E3A1}"/>
            </c:ext>
          </c:extLst>
        </c:ser>
        <c:ser>
          <c:idx val="1"/>
          <c:order val="1"/>
          <c:tx>
            <c:v>Euparkeria FDBS</c:v>
          </c:tx>
          <c:spPr>
            <a:ln w="47625">
              <a:noFill/>
            </a:ln>
          </c:spPr>
          <c:yVal>
            <c:numRef>
              <c:f>Saurian_muscle_architecture!$K$613</c:f>
              <c:numCache>
                <c:formatCode>General</c:formatCode>
                <c:ptCount val="1"/>
                <c:pt idx="0">
                  <c:v>2.4722567848680196E-4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1BA-D24D-AEAF-7D92BAC7E3A1}"/>
            </c:ext>
          </c:extLst>
        </c:ser>
        <c:ser>
          <c:idx val="2"/>
          <c:order val="2"/>
          <c:tx>
            <c:v>Euparkeria FDBP</c:v>
          </c:tx>
          <c:spPr>
            <a:ln w="47625">
              <a:noFill/>
            </a:ln>
          </c:spPr>
          <c:yVal>
            <c:numRef>
              <c:f>Saurian_muscle_architecture!$K$614</c:f>
              <c:numCache>
                <c:formatCode>General</c:formatCode>
                <c:ptCount val="1"/>
                <c:pt idx="0">
                  <c:v>1.7250008578828662E-4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1BA-D24D-AEAF-7D92BAC7E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6456792"/>
        <c:axId val="-2016453800"/>
      </c:scatterChart>
      <c:valAx>
        <c:axId val="-201645679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16453800"/>
        <c:crosses val="autoZero"/>
        <c:crossBetween val="midCat"/>
      </c:valAx>
      <c:valAx>
        <c:axId val="-2016453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164567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EDB</c:v>
          </c:tx>
          <c:spPr>
            <a:ln w="47625">
              <a:noFill/>
            </a:ln>
          </c:spPr>
          <c:xVal>
            <c:numRef>
              <c:f>Saurian_muscle_architecture!$M$588:$M$594</c:f>
              <c:numCache>
                <c:formatCode>General</c:formatCode>
                <c:ptCount val="7"/>
                <c:pt idx="0">
                  <c:v>6.9878538125984621E-3</c:v>
                </c:pt>
                <c:pt idx="1">
                  <c:v>4.4737022073631852E-3</c:v>
                </c:pt>
                <c:pt idx="2">
                  <c:v>8.1607053132757706E-3</c:v>
                </c:pt>
                <c:pt idx="3">
                  <c:v>1.0526699608010051E-2</c:v>
                </c:pt>
                <c:pt idx="4">
                  <c:v>7.0255079752688859E-3</c:v>
                </c:pt>
                <c:pt idx="5">
                  <c:v>7.6480253671535438E-3</c:v>
                </c:pt>
                <c:pt idx="6">
                  <c:v>2.5390437747436065E-3</c:v>
                </c:pt>
              </c:numCache>
            </c:numRef>
          </c:xVal>
          <c:yVal>
            <c:numRef>
              <c:f>Saurian_muscle_architecture!$K$588:$K$594</c:f>
              <c:numCache>
                <c:formatCode>General</c:formatCode>
                <c:ptCount val="7"/>
                <c:pt idx="0">
                  <c:v>2.2780915388708687E-4</c:v>
                </c:pt>
                <c:pt idx="1">
                  <c:v>5.0816488726277971E-4</c:v>
                </c:pt>
                <c:pt idx="2">
                  <c:v>2.4764735017335313E-4</c:v>
                </c:pt>
                <c:pt idx="3">
                  <c:v>6.3357400722021664E-4</c:v>
                </c:pt>
                <c:pt idx="4">
                  <c:v>2.8623677590581967E-4</c:v>
                </c:pt>
                <c:pt idx="5">
                  <c:v>3.5324675324675326E-4</c:v>
                </c:pt>
                <c:pt idx="6">
                  <c:v>1.0567567567567567E-3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7D-A749-A602-F6AB66F8CE20}"/>
            </c:ext>
          </c:extLst>
        </c:ser>
        <c:ser>
          <c:idx val="1"/>
          <c:order val="1"/>
          <c:tx>
            <c:v>Euparkeria EDB</c:v>
          </c:tx>
          <c:spPr>
            <a:ln w="4762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Saurian_muscle_architecture!$K$595</c:f>
              <c:numCache>
                <c:formatCode>General</c:formatCode>
                <c:ptCount val="1"/>
                <c:pt idx="0">
                  <c:v>3.9935419326339036E-4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7D-A749-A602-F6AB66F8C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7277976"/>
        <c:axId val="-2017284792"/>
      </c:scatterChart>
      <c:valAx>
        <c:axId val="-2017277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L</a:t>
                </a:r>
                <a:r>
                  <a:rPr lang="de-DE" sz="1000" b="1" i="0" baseline="-25000">
                    <a:effectLst/>
                  </a:rPr>
                  <a:t>o</a:t>
                </a:r>
                <a:r>
                  <a:rPr lang="de-DE" sz="1000" b="1" i="0" baseline="0">
                    <a:effectLst/>
                  </a:rPr>
                  <a:t>/M</a:t>
                </a:r>
                <a:r>
                  <a:rPr lang="de-DE" sz="1000" b="1" i="0" baseline="-25000">
                    <a:effectLst/>
                  </a:rPr>
                  <a:t>body</a:t>
                </a:r>
                <a:r>
                  <a:rPr lang="de-DE" sz="1000" b="1" i="0" baseline="30000">
                    <a:effectLst/>
                  </a:rPr>
                  <a:t>0.33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17284792"/>
        <c:crosses val="autoZero"/>
        <c:crossBetween val="midCat"/>
      </c:valAx>
      <c:valAx>
        <c:axId val="-2017284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M</a:t>
                </a:r>
                <a:r>
                  <a:rPr lang="de-DE" sz="1000" b="1" i="0" baseline="-25000">
                    <a:effectLst/>
                  </a:rPr>
                  <a:t>muscle</a:t>
                </a:r>
                <a:r>
                  <a:rPr lang="de-DE" sz="1000" b="1" i="0" baseline="0">
                    <a:effectLst/>
                  </a:rPr>
                  <a:t>*cos(θ)/M</a:t>
                </a:r>
                <a:r>
                  <a:rPr lang="de-DE" sz="1000" b="1" i="0" baseline="-25000">
                    <a:effectLst/>
                  </a:rPr>
                  <a:t>body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172779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AHD</c:v>
          </c:tx>
          <c:spPr>
            <a:ln w="47625">
              <a:noFill/>
            </a:ln>
          </c:spPr>
          <c:xVal>
            <c:numRef>
              <c:f>Saurian_muscle_architecture!$M$598:$M$603</c:f>
              <c:numCache>
                <c:formatCode>General</c:formatCode>
                <c:ptCount val="6"/>
                <c:pt idx="0">
                  <c:v>8.8556352989565563E-3</c:v>
                </c:pt>
                <c:pt idx="1">
                  <c:v>8.6076295635342283E-3</c:v>
                </c:pt>
                <c:pt idx="2">
                  <c:v>9.5084581604682871E-3</c:v>
                </c:pt>
                <c:pt idx="3">
                  <c:v>1.4369780417283562E-2</c:v>
                </c:pt>
                <c:pt idx="4">
                  <c:v>1.657072162883268E-2</c:v>
                </c:pt>
                <c:pt idx="5">
                  <c:v>4.155979580142987E-2</c:v>
                </c:pt>
              </c:numCache>
            </c:numRef>
          </c:xVal>
          <c:yVal>
            <c:numRef>
              <c:f>Saurian_muscle_architecture!$K$598:$K$603</c:f>
              <c:numCache>
                <c:formatCode>General</c:formatCode>
                <c:ptCount val="6"/>
                <c:pt idx="0">
                  <c:v>1.0008120595524933E-4</c:v>
                </c:pt>
                <c:pt idx="1">
                  <c:v>5.4444444444444452E-5</c:v>
                </c:pt>
                <c:pt idx="2">
                  <c:v>7.9247152055472999E-5</c:v>
                </c:pt>
                <c:pt idx="3">
                  <c:v>9.2779783393501803E-5</c:v>
                </c:pt>
                <c:pt idx="4">
                  <c:v>8.9350649350649331E-5</c:v>
                </c:pt>
                <c:pt idx="5">
                  <c:v>1.8154054054054052E-4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75-414F-BF12-CE9445E9B0A3}"/>
            </c:ext>
          </c:extLst>
        </c:ser>
        <c:ser>
          <c:idx val="1"/>
          <c:order val="1"/>
          <c:tx>
            <c:v>Euparkeria AHD</c:v>
          </c:tx>
          <c:spPr>
            <a:ln w="4762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Saurian_muscle_architecture!$K$604</c:f>
              <c:numCache>
                <c:formatCode>General</c:formatCode>
                <c:ptCount val="1"/>
                <c:pt idx="0">
                  <c:v>2.1374196796288357E-5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75-414F-BF12-CE9445E9B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7316840"/>
        <c:axId val="-2017323656"/>
      </c:scatterChart>
      <c:valAx>
        <c:axId val="-2017316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L</a:t>
                </a:r>
                <a:r>
                  <a:rPr lang="de-DE" sz="1000" b="1" i="0" baseline="-25000">
                    <a:effectLst/>
                  </a:rPr>
                  <a:t>o</a:t>
                </a:r>
                <a:r>
                  <a:rPr lang="de-DE" sz="1000" b="1" i="0" baseline="0">
                    <a:effectLst/>
                  </a:rPr>
                  <a:t>/M</a:t>
                </a:r>
                <a:r>
                  <a:rPr lang="de-DE" sz="1000" b="1" i="0" baseline="-25000">
                    <a:effectLst/>
                  </a:rPr>
                  <a:t>body</a:t>
                </a:r>
                <a:r>
                  <a:rPr lang="de-DE" sz="1000" b="1" i="0" baseline="30000">
                    <a:effectLst/>
                  </a:rPr>
                  <a:t>0.33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17323656"/>
        <c:crosses val="autoZero"/>
        <c:crossBetween val="midCat"/>
      </c:valAx>
      <c:valAx>
        <c:axId val="-2017323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M</a:t>
                </a:r>
                <a:r>
                  <a:rPr lang="de-DE" sz="1000" b="1" i="0" baseline="-25000">
                    <a:effectLst/>
                  </a:rPr>
                  <a:t>muscle</a:t>
                </a:r>
                <a:r>
                  <a:rPr lang="de-DE" sz="1000" b="1" i="0" baseline="0">
                    <a:effectLst/>
                  </a:rPr>
                  <a:t>*cos(θ)/M</a:t>
                </a:r>
                <a:r>
                  <a:rPr lang="de-DE" sz="1000" b="1" i="0" baseline="-25000">
                    <a:effectLst/>
                  </a:rPr>
                  <a:t>body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173168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FDB</c:v>
          </c:tx>
          <c:spPr>
            <a:ln w="47625">
              <a:noFill/>
            </a:ln>
          </c:spPr>
          <c:xVal>
            <c:numRef>
              <c:f>Saurian_muscle_architecture!$M$607:$M$612</c:f>
              <c:numCache>
                <c:formatCode>General</c:formatCode>
                <c:ptCount val="6"/>
                <c:pt idx="0">
                  <c:v>3.7225015637206761E-3</c:v>
                </c:pt>
                <c:pt idx="1">
                  <c:v>3.4638158440976558E-3</c:v>
                </c:pt>
                <c:pt idx="2">
                  <c:v>6.4522627633956595E-3</c:v>
                </c:pt>
                <c:pt idx="3">
                  <c:v>3.7469375868100729E-3</c:v>
                </c:pt>
                <c:pt idx="4">
                  <c:v>4.4613481308395679E-3</c:v>
                </c:pt>
                <c:pt idx="5">
                  <c:v>2.390337630391615E-2</c:v>
                </c:pt>
              </c:numCache>
            </c:numRef>
          </c:xVal>
          <c:yVal>
            <c:numRef>
              <c:f>Saurian_muscle_architecture!$K$607:$K$612</c:f>
              <c:numCache>
                <c:formatCode>General</c:formatCode>
                <c:ptCount val="6"/>
                <c:pt idx="0">
                  <c:v>4.7987067439573644E-4</c:v>
                </c:pt>
                <c:pt idx="1">
                  <c:v>7.9435851770874805E-4</c:v>
                </c:pt>
                <c:pt idx="2">
                  <c:v>1.2105554080673875E-3</c:v>
                </c:pt>
                <c:pt idx="3">
                  <c:v>4.6860281388429821E-4</c:v>
                </c:pt>
                <c:pt idx="4">
                  <c:v>1.11784744180631E-3</c:v>
                </c:pt>
                <c:pt idx="5">
                  <c:v>7.0218275982522063E-4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3A-6949-9046-A1A74771A44F}"/>
            </c:ext>
          </c:extLst>
        </c:ser>
        <c:ser>
          <c:idx val="1"/>
          <c:order val="1"/>
          <c:tx>
            <c:v>Euparkeria FDB sum</c:v>
          </c:tx>
          <c:spPr>
            <a:ln w="47625">
              <a:noFill/>
            </a:ln>
          </c:spP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Saurian_muscle_architecture!$K$615</c:f>
              <c:numCache>
                <c:formatCode>General</c:formatCode>
                <c:ptCount val="1"/>
                <c:pt idx="0">
                  <c:v>4.1972576427508855E-4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3A-6949-9046-A1A74771A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7355656"/>
        <c:axId val="-2017362472"/>
      </c:scatterChart>
      <c:valAx>
        <c:axId val="-2017355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L</a:t>
                </a:r>
                <a:r>
                  <a:rPr lang="de-DE" sz="1000" b="1" i="0" baseline="-25000">
                    <a:effectLst/>
                  </a:rPr>
                  <a:t>o</a:t>
                </a:r>
                <a:r>
                  <a:rPr lang="de-DE" sz="1000" b="1" i="0" baseline="0">
                    <a:effectLst/>
                  </a:rPr>
                  <a:t>/M</a:t>
                </a:r>
                <a:r>
                  <a:rPr lang="de-DE" sz="1000" b="1" i="0" baseline="-25000">
                    <a:effectLst/>
                  </a:rPr>
                  <a:t>body</a:t>
                </a:r>
                <a:r>
                  <a:rPr lang="de-DE" sz="1000" b="1" i="0" baseline="30000">
                    <a:effectLst/>
                  </a:rPr>
                  <a:t>0.33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17362472"/>
        <c:crosses val="autoZero"/>
        <c:crossBetween val="midCat"/>
      </c:valAx>
      <c:valAx>
        <c:axId val="-2017362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1" i="0" baseline="0">
                    <a:effectLst/>
                  </a:rPr>
                  <a:t>M</a:t>
                </a:r>
                <a:r>
                  <a:rPr lang="de-DE" sz="1000" b="1" i="0" baseline="-25000">
                    <a:effectLst/>
                  </a:rPr>
                  <a:t>muscle</a:t>
                </a:r>
                <a:r>
                  <a:rPr lang="de-DE" sz="1000" b="1" i="0" baseline="0">
                    <a:effectLst/>
                  </a:rPr>
                  <a:t>*cos(θ)/M</a:t>
                </a:r>
                <a:r>
                  <a:rPr lang="de-DE" sz="1000" b="1" i="0" baseline="-25000">
                    <a:effectLst/>
                  </a:rPr>
                  <a:t>body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173556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FTE</c:v>
          </c:tx>
          <c:spPr>
            <a:ln w="47625">
              <a:noFill/>
            </a:ln>
          </c:spPr>
          <c:yVal>
            <c:numRef>
              <c:f>Saurian_muscle_architecture!$K$317:$K$323</c:f>
              <c:numCache>
                <c:formatCode>General</c:formatCode>
                <c:ptCount val="7"/>
                <c:pt idx="0">
                  <c:v>2.2023391812865493E-3</c:v>
                </c:pt>
                <c:pt idx="1">
                  <c:v>1.5233333333333334E-3</c:v>
                </c:pt>
                <c:pt idx="2">
                  <c:v>1.9712729073798909E-3</c:v>
                </c:pt>
                <c:pt idx="3">
                  <c:v>1.5028880866425993E-3</c:v>
                </c:pt>
                <c:pt idx="4">
                  <c:v>1.0784172661870504E-3</c:v>
                </c:pt>
                <c:pt idx="5">
                  <c:v>1.4561645443588967E-3</c:v>
                </c:pt>
                <c:pt idx="6">
                  <c:v>1.6054864864864864E-3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AF-3542-9834-F328283269A2}"/>
            </c:ext>
          </c:extLst>
        </c:ser>
        <c:ser>
          <c:idx val="3"/>
          <c:order val="1"/>
          <c:tx>
            <c:v>Varanus FTE</c:v>
          </c:tx>
          <c:spPr>
            <a:ln w="47625">
              <a:noFill/>
            </a:ln>
          </c:spPr>
          <c:yVal>
            <c:numRef>
              <c:f>Saurian_muscle_architecture!$K$324:$K$329</c:f>
              <c:numCache>
                <c:formatCode>0.000000</c:formatCode>
                <c:ptCount val="6"/>
                <c:pt idx="0">
                  <c:v>1.72E-3</c:v>
                </c:pt>
                <c:pt idx="1">
                  <c:v>2.6000000000000003E-3</c:v>
                </c:pt>
                <c:pt idx="2">
                  <c:v>2.4299999999999994E-3</c:v>
                </c:pt>
                <c:pt idx="3">
                  <c:v>2.8100000000000004E-3</c:v>
                </c:pt>
                <c:pt idx="4">
                  <c:v>1.98E-3</c:v>
                </c:pt>
                <c:pt idx="5">
                  <c:v>2.49E-3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AF-3542-9834-F328283269A2}"/>
            </c:ext>
          </c:extLst>
        </c:ser>
        <c:ser>
          <c:idx val="2"/>
          <c:order val="2"/>
          <c:tx>
            <c:v>Gecko FTE P</c:v>
          </c:tx>
          <c:spPr>
            <a:ln w="47625">
              <a:noFill/>
            </a:ln>
          </c:spPr>
          <c:yVal>
            <c:numRef>
              <c:f>Saurian_muscle_architecture!$K$330:$K$333</c:f>
              <c:numCache>
                <c:formatCode>General</c:formatCode>
                <c:ptCount val="4"/>
                <c:pt idx="0">
                  <c:v>2.4858349644586381E-3</c:v>
                </c:pt>
                <c:pt idx="1">
                  <c:v>3.9756453969800295E-3</c:v>
                </c:pt>
                <c:pt idx="2">
                  <c:v>1.143859649122807E-3</c:v>
                </c:pt>
                <c:pt idx="3">
                  <c:v>1.1642166344294003E-3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5AF-3542-9834-F328283269A2}"/>
            </c:ext>
          </c:extLst>
        </c:ser>
        <c:ser>
          <c:idx val="1"/>
          <c:order val="3"/>
          <c:tx>
            <c:v>Euparkeria FTE</c:v>
          </c:tx>
          <c:spPr>
            <a:ln w="47625">
              <a:noFill/>
            </a:ln>
          </c:spPr>
          <c:yVal>
            <c:numRef>
              <c:f>Saurian_muscle_architecture!$K$334</c:f>
              <c:numCache>
                <c:formatCode>General</c:formatCode>
                <c:ptCount val="1"/>
                <c:pt idx="0">
                  <c:v>3.5174318026714763E-3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5AF-3542-9834-F32828326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7927496"/>
        <c:axId val="-2097856680"/>
      </c:scatterChart>
      <c:valAx>
        <c:axId val="-2097927496"/>
        <c:scaling>
          <c:orientation val="minMax"/>
        </c:scaling>
        <c:delete val="0"/>
        <c:axPos val="b"/>
        <c:majorTickMark val="out"/>
        <c:minorTickMark val="none"/>
        <c:tickLblPos val="nextTo"/>
        <c:crossAx val="-2097856680"/>
        <c:crosses val="autoZero"/>
        <c:crossBetween val="midCat"/>
      </c:valAx>
      <c:valAx>
        <c:axId val="-2097856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79274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Crof FTI 3</c:v>
          </c:tx>
          <c:spPr>
            <a:ln w="47625">
              <a:noFill/>
            </a:ln>
          </c:spPr>
          <c:yVal>
            <c:numRef>
              <c:f>Saurian_muscle_architecture!$K$375:$K$381</c:f>
              <c:numCache>
                <c:formatCode>General</c:formatCode>
                <c:ptCount val="7"/>
                <c:pt idx="0">
                  <c:v>6.2484148694126975E-4</c:v>
                </c:pt>
                <c:pt idx="1">
                  <c:v>4.4108137527708172E-4</c:v>
                </c:pt>
                <c:pt idx="2">
                  <c:v>7.429420505200594E-4</c:v>
                </c:pt>
                <c:pt idx="3">
                  <c:v>1.075812274368231E-4</c:v>
                </c:pt>
                <c:pt idx="4">
                  <c:v>3.3309352517985611E-4</c:v>
                </c:pt>
                <c:pt idx="5">
                  <c:v>6.4494756483038569E-4</c:v>
                </c:pt>
                <c:pt idx="6">
                  <c:v>3.7856955790562419E-4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5A-4E4F-BB4C-7EDE451B236B}"/>
            </c:ext>
          </c:extLst>
        </c:ser>
        <c:ser>
          <c:idx val="3"/>
          <c:order val="1"/>
          <c:tx>
            <c:v>Varanus FTI (D)</c:v>
          </c:tx>
          <c:spPr>
            <a:ln w="47625">
              <a:noFill/>
            </a:ln>
          </c:spPr>
          <c:yVal>
            <c:numRef>
              <c:f>Saurian_muscle_architecture!$K$382:$K$387</c:f>
              <c:numCache>
                <c:formatCode>0.000000</c:formatCode>
                <c:ptCount val="6"/>
                <c:pt idx="0">
                  <c:v>8.299609204992386E-4</c:v>
                </c:pt>
                <c:pt idx="1">
                  <c:v>6.799795827418868E-4</c:v>
                </c:pt>
                <c:pt idx="2">
                  <c:v>1.0799675725900553E-3</c:v>
                </c:pt>
                <c:pt idx="3">
                  <c:v>1.0099829417938803E-3</c:v>
                </c:pt>
                <c:pt idx="4">
                  <c:v>1.0499980295752209E-3</c:v>
                </c:pt>
                <c:pt idx="5">
                  <c:v>1.3699869585874062E-3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D5A-4E4F-BB4C-7EDE451B236B}"/>
            </c:ext>
          </c:extLst>
        </c:ser>
        <c:ser>
          <c:idx val="2"/>
          <c:order val="2"/>
          <c:tx>
            <c:v>Geckos FTIP</c:v>
          </c:tx>
          <c:spPr>
            <a:ln w="47625">
              <a:noFill/>
            </a:ln>
          </c:spPr>
          <c:yVal>
            <c:numRef>
              <c:f>Saurian_muscle_architecture!$K$388:$K$389</c:f>
              <c:numCache>
                <c:formatCode>General</c:formatCode>
                <c:ptCount val="2"/>
                <c:pt idx="0">
                  <c:v>4.7222415721657161E-4</c:v>
                </c:pt>
                <c:pt idx="1">
                  <c:v>7.7137361110573449E-4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D5A-4E4F-BB4C-7EDE451B236B}"/>
            </c:ext>
          </c:extLst>
        </c:ser>
        <c:ser>
          <c:idx val="1"/>
          <c:order val="3"/>
          <c:tx>
            <c:v>Euparkeria FTI3</c:v>
          </c:tx>
          <c:spPr>
            <a:ln w="47625">
              <a:noFill/>
            </a:ln>
          </c:spPr>
          <c:yVal>
            <c:numRef>
              <c:f>Saurian_muscle_architecture!$K$390</c:f>
              <c:numCache>
                <c:formatCode>General</c:formatCode>
                <c:ptCount val="1"/>
                <c:pt idx="0">
                  <c:v>1.4547650534317618E-3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D5A-4E4F-BB4C-7EDE451B2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7905192"/>
        <c:axId val="-2097359048"/>
      </c:scatterChart>
      <c:valAx>
        <c:axId val="-209790519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97359048"/>
        <c:crosses val="autoZero"/>
        <c:crossBetween val="midCat"/>
      </c:valAx>
      <c:valAx>
        <c:axId val="-2097359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79051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FB</c:v>
          </c:tx>
          <c:spPr>
            <a:ln w="47625">
              <a:noFill/>
            </a:ln>
          </c:spPr>
          <c:yVal>
            <c:numRef>
              <c:f>Saurian_muscle_architecture!$K$473:$K$479</c:f>
              <c:numCache>
                <c:formatCode>General</c:formatCode>
                <c:ptCount val="7"/>
                <c:pt idx="0">
                  <c:v>1.1427499551537063E-4</c:v>
                </c:pt>
                <c:pt idx="1">
                  <c:v>9.6525706787073179E-5</c:v>
                </c:pt>
                <c:pt idx="2">
                  <c:v>7.4294205052005937E-5</c:v>
                </c:pt>
                <c:pt idx="3">
                  <c:v>1.1970831647969681E-4</c:v>
                </c:pt>
                <c:pt idx="4">
                  <c:v>5.4676258992805754E-5</c:v>
                </c:pt>
                <c:pt idx="5">
                  <c:v>1.3729275303690222E-4</c:v>
                </c:pt>
                <c:pt idx="6">
                  <c:v>1.5808980141589617E-4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6D-3D44-82BA-8A5593C91B11}"/>
            </c:ext>
          </c:extLst>
        </c:ser>
        <c:ser>
          <c:idx val="3"/>
          <c:order val="1"/>
          <c:tx>
            <c:v>Varanus PBREV</c:v>
          </c:tx>
          <c:spPr>
            <a:ln w="47625">
              <a:noFill/>
            </a:ln>
          </c:spPr>
          <c:yVal>
            <c:numRef>
              <c:f>Saurian_muscle_architecture!$K$480:$K$483</c:f>
              <c:numCache>
                <c:formatCode>General</c:formatCode>
                <c:ptCount val="4"/>
                <c:pt idx="0">
                  <c:v>8.3132636645476667E-4</c:v>
                </c:pt>
                <c:pt idx="1">
                  <c:v>6.6757237528808691E-4</c:v>
                </c:pt>
                <c:pt idx="2">
                  <c:v>8.5496602577051829E-4</c:v>
                </c:pt>
                <c:pt idx="3">
                  <c:v>8.757480236657642E-4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6D-3D44-82BA-8A5593C91B11}"/>
            </c:ext>
          </c:extLst>
        </c:ser>
        <c:ser>
          <c:idx val="2"/>
          <c:order val="2"/>
          <c:tx>
            <c:v>Gecko PERB</c:v>
          </c:tx>
          <c:spPr>
            <a:ln w="47625">
              <a:noFill/>
            </a:ln>
          </c:spPr>
          <c:yVal>
            <c:numRef>
              <c:f>Saurian_muscle_architecture!$K$484:$K$485</c:f>
              <c:numCache>
                <c:formatCode>General</c:formatCode>
                <c:ptCount val="2"/>
                <c:pt idx="0">
                  <c:v>2.3974775676961329E-4</c:v>
                </c:pt>
                <c:pt idx="1">
                  <c:v>3.9518016140864163E-4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A6D-3D44-82BA-8A5593C91B11}"/>
            </c:ext>
          </c:extLst>
        </c:ser>
        <c:ser>
          <c:idx val="1"/>
          <c:order val="3"/>
          <c:tx>
            <c:v>Euparkeria FB</c:v>
          </c:tx>
          <c:spPr>
            <a:ln w="47625">
              <a:noFill/>
            </a:ln>
          </c:spPr>
          <c:yVal>
            <c:numRef>
              <c:f>Saurian_muscle_architecture!$K$486</c:f>
              <c:numCache>
                <c:formatCode>General</c:formatCode>
                <c:ptCount val="1"/>
                <c:pt idx="0">
                  <c:v>3.8574849748160224E-4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A6D-3D44-82BA-8A5593C91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1515032"/>
        <c:axId val="-2021591384"/>
      </c:scatterChart>
      <c:valAx>
        <c:axId val="-202151503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21591384"/>
        <c:crosses val="autoZero"/>
        <c:crossBetween val="midCat"/>
      </c:valAx>
      <c:valAx>
        <c:axId val="-2021591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215150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Croc FL</c:v>
          </c:tx>
          <c:spPr>
            <a:ln w="47625">
              <a:noFill/>
            </a:ln>
          </c:spPr>
          <c:yVal>
            <c:numRef>
              <c:f>Saurian_muscle_architecture!$K$489:$K$495</c:f>
              <c:numCache>
                <c:formatCode>0.000000000</c:formatCode>
                <c:ptCount val="7"/>
                <c:pt idx="0" formatCode="General">
                  <c:v>2.6595894001601084E-4</c:v>
                </c:pt>
                <c:pt idx="1">
                  <c:v>2.2294344764321831E-5</c:v>
                </c:pt>
                <c:pt idx="2" formatCode="General">
                  <c:v>1.58494304110946E-4</c:v>
                </c:pt>
                <c:pt idx="3" formatCode="General">
                  <c:v>2.3992155287932203E-4</c:v>
                </c:pt>
                <c:pt idx="4" formatCode="General">
                  <c:v>1.0560814480190247E-4</c:v>
                </c:pt>
                <c:pt idx="5" formatCode="General">
                  <c:v>1.8490204724956068E-4</c:v>
                </c:pt>
                <c:pt idx="6" formatCode="General">
                  <c:v>2.4604702752591378E-4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D5-5E44-8E84-2DE4F4110FCA}"/>
            </c:ext>
          </c:extLst>
        </c:ser>
        <c:ser>
          <c:idx val="3"/>
          <c:order val="1"/>
          <c:tx>
            <c:v>Varanus PLONG</c:v>
          </c:tx>
          <c:spPr>
            <a:ln w="47625">
              <a:noFill/>
            </a:ln>
          </c:spPr>
          <c:yVal>
            <c:numRef>
              <c:f>Saurian_muscle_architecture!$K$496:$K$501</c:f>
              <c:numCache>
                <c:formatCode>General</c:formatCode>
                <c:ptCount val="6"/>
                <c:pt idx="0">
                  <c:v>1.0870667842772619E-3</c:v>
                </c:pt>
                <c:pt idx="1">
                  <c:v>8.2947765339555794E-4</c:v>
                </c:pt>
                <c:pt idx="2">
                  <c:v>1.3694554954901809E-3</c:v>
                </c:pt>
                <c:pt idx="3">
                  <c:v>7.4246126392502553E-4</c:v>
                </c:pt>
                <c:pt idx="4">
                  <c:v>1.1860123739691943E-3</c:v>
                </c:pt>
                <c:pt idx="5">
                  <c:v>9.8562573882871583E-4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D5-5E44-8E84-2DE4F4110FCA}"/>
            </c:ext>
          </c:extLst>
        </c:ser>
        <c:ser>
          <c:idx val="2"/>
          <c:order val="2"/>
          <c:tx>
            <c:v>Geckos PERL</c:v>
          </c:tx>
          <c:spPr>
            <a:ln w="47625">
              <a:noFill/>
            </a:ln>
          </c:spPr>
          <c:yVal>
            <c:numRef>
              <c:f>Saurian_muscle_architecture!$K$502:$K$505</c:f>
              <c:numCache>
                <c:formatCode>General</c:formatCode>
                <c:ptCount val="4"/>
                <c:pt idx="0">
                  <c:v>3.4776509617281493E-4</c:v>
                </c:pt>
                <c:pt idx="1">
                  <c:v>6.8691899771723425E-4</c:v>
                </c:pt>
                <c:pt idx="2">
                  <c:v>5.2110502464024655E-4</c:v>
                </c:pt>
                <c:pt idx="3">
                  <c:v>4.922609161829469E-4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9D5-5E44-8E84-2DE4F4110FCA}"/>
            </c:ext>
          </c:extLst>
        </c:ser>
        <c:ser>
          <c:idx val="1"/>
          <c:order val="3"/>
          <c:tx>
            <c:v>Euparkeria FL</c:v>
          </c:tx>
          <c:spPr>
            <a:ln w="47625">
              <a:noFill/>
            </a:ln>
          </c:spPr>
          <c:yVal>
            <c:numRef>
              <c:f>Saurian_muscle_architecture!$K$506</c:f>
              <c:numCache>
                <c:formatCode>General</c:formatCode>
                <c:ptCount val="1"/>
                <c:pt idx="0">
                  <c:v>1.1234166089275142E-3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9D5-5E44-8E84-2DE4F4110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6745192"/>
        <c:axId val="-2016742056"/>
      </c:scatterChart>
      <c:valAx>
        <c:axId val="-201674519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16742056"/>
        <c:crosses val="autoZero"/>
        <c:crossBetween val="midCat"/>
      </c:valAx>
      <c:valAx>
        <c:axId val="-2016742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167451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91</xdr:row>
      <xdr:rowOff>0</xdr:rowOff>
    </xdr:from>
    <xdr:to>
      <xdr:col>19</xdr:col>
      <xdr:colOff>444500</xdr:colOff>
      <xdr:row>105</xdr:row>
      <xdr:rowOff>76200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270</xdr:row>
      <xdr:rowOff>0</xdr:rowOff>
    </xdr:from>
    <xdr:to>
      <xdr:col>19</xdr:col>
      <xdr:colOff>444500</xdr:colOff>
      <xdr:row>284</xdr:row>
      <xdr:rowOff>76200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392</xdr:row>
      <xdr:rowOff>0</xdr:rowOff>
    </xdr:from>
    <xdr:to>
      <xdr:col>19</xdr:col>
      <xdr:colOff>444500</xdr:colOff>
      <xdr:row>406</xdr:row>
      <xdr:rowOff>76200</xdr:rowOff>
    </xdr:to>
    <xdr:graphicFrame macro="">
      <xdr:nvGraphicFramePr>
        <xdr:cNvPr id="18" name="Diagramm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415</xdr:row>
      <xdr:rowOff>0</xdr:rowOff>
    </xdr:from>
    <xdr:to>
      <xdr:col>19</xdr:col>
      <xdr:colOff>444500</xdr:colOff>
      <xdr:row>429</xdr:row>
      <xdr:rowOff>76200</xdr:rowOff>
    </xdr:to>
    <xdr:graphicFrame macro="">
      <xdr:nvGraphicFramePr>
        <xdr:cNvPr id="19" name="Diagram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293</xdr:row>
      <xdr:rowOff>0</xdr:rowOff>
    </xdr:from>
    <xdr:to>
      <xdr:col>19</xdr:col>
      <xdr:colOff>444500</xdr:colOff>
      <xdr:row>307</xdr:row>
      <xdr:rowOff>76200</xdr:rowOff>
    </xdr:to>
    <xdr:graphicFrame macro="">
      <xdr:nvGraphicFramePr>
        <xdr:cNvPr id="20" name="Diagramm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316</xdr:row>
      <xdr:rowOff>0</xdr:rowOff>
    </xdr:from>
    <xdr:to>
      <xdr:col>19</xdr:col>
      <xdr:colOff>444500</xdr:colOff>
      <xdr:row>330</xdr:row>
      <xdr:rowOff>76200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374</xdr:row>
      <xdr:rowOff>0</xdr:rowOff>
    </xdr:from>
    <xdr:to>
      <xdr:col>19</xdr:col>
      <xdr:colOff>444500</xdr:colOff>
      <xdr:row>388</xdr:row>
      <xdr:rowOff>76200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0</xdr:colOff>
      <xdr:row>472</xdr:row>
      <xdr:rowOff>0</xdr:rowOff>
    </xdr:from>
    <xdr:to>
      <xdr:col>19</xdr:col>
      <xdr:colOff>444500</xdr:colOff>
      <xdr:row>487</xdr:row>
      <xdr:rowOff>76200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488</xdr:row>
      <xdr:rowOff>20320</xdr:rowOff>
    </xdr:from>
    <xdr:to>
      <xdr:col>19</xdr:col>
      <xdr:colOff>444500</xdr:colOff>
      <xdr:row>502</xdr:row>
      <xdr:rowOff>96520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0</xdr:colOff>
      <xdr:row>518</xdr:row>
      <xdr:rowOff>0</xdr:rowOff>
    </xdr:from>
    <xdr:to>
      <xdr:col>19</xdr:col>
      <xdr:colOff>444500</xdr:colOff>
      <xdr:row>532</xdr:row>
      <xdr:rowOff>76200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536</xdr:row>
      <xdr:rowOff>10160</xdr:rowOff>
    </xdr:from>
    <xdr:to>
      <xdr:col>19</xdr:col>
      <xdr:colOff>444500</xdr:colOff>
      <xdr:row>544</xdr:row>
      <xdr:rowOff>40640</xdr:rowOff>
    </xdr:to>
    <xdr:graphicFrame macro="">
      <xdr:nvGraphicFramePr>
        <xdr:cNvPr id="30" name="Diagramm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0</xdr:colOff>
      <xdr:row>546</xdr:row>
      <xdr:rowOff>10160</xdr:rowOff>
    </xdr:from>
    <xdr:to>
      <xdr:col>19</xdr:col>
      <xdr:colOff>444500</xdr:colOff>
      <xdr:row>560</xdr:row>
      <xdr:rowOff>86360</xdr:rowOff>
    </xdr:to>
    <xdr:graphicFrame macro="">
      <xdr:nvGraphicFramePr>
        <xdr:cNvPr id="32" name="Diagramm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0</xdr:colOff>
      <xdr:row>569</xdr:row>
      <xdr:rowOff>0</xdr:rowOff>
    </xdr:from>
    <xdr:to>
      <xdr:col>19</xdr:col>
      <xdr:colOff>444500</xdr:colOff>
      <xdr:row>583</xdr:row>
      <xdr:rowOff>76200</xdr:rowOff>
    </xdr:to>
    <xdr:graphicFrame macro="">
      <xdr:nvGraphicFramePr>
        <xdr:cNvPr id="33" name="Diagramm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20</xdr:col>
      <xdr:colOff>0</xdr:colOff>
      <xdr:row>270</xdr:row>
      <xdr:rowOff>0</xdr:rowOff>
    </xdr:from>
    <xdr:to>
      <xdr:col>25</xdr:col>
      <xdr:colOff>444500</xdr:colOff>
      <xdr:row>284</xdr:row>
      <xdr:rowOff>76200</xdr:rowOff>
    </xdr:to>
    <xdr:graphicFrame macro="">
      <xdr:nvGraphicFramePr>
        <xdr:cNvPr id="50" name="Diagramm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20</xdr:col>
      <xdr:colOff>0</xdr:colOff>
      <xdr:row>472</xdr:row>
      <xdr:rowOff>0</xdr:rowOff>
    </xdr:from>
    <xdr:to>
      <xdr:col>25</xdr:col>
      <xdr:colOff>444500</xdr:colOff>
      <xdr:row>487</xdr:row>
      <xdr:rowOff>76200</xdr:rowOff>
    </xdr:to>
    <xdr:graphicFrame macro="">
      <xdr:nvGraphicFramePr>
        <xdr:cNvPr id="51" name="Diagramm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20</xdr:col>
      <xdr:colOff>0</xdr:colOff>
      <xdr:row>488</xdr:row>
      <xdr:rowOff>0</xdr:rowOff>
    </xdr:from>
    <xdr:to>
      <xdr:col>25</xdr:col>
      <xdr:colOff>444500</xdr:colOff>
      <xdr:row>502</xdr:row>
      <xdr:rowOff>76200</xdr:rowOff>
    </xdr:to>
    <xdr:graphicFrame macro="">
      <xdr:nvGraphicFramePr>
        <xdr:cNvPr id="52" name="Diagramm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20</xdr:col>
      <xdr:colOff>0</xdr:colOff>
      <xdr:row>518</xdr:row>
      <xdr:rowOff>0</xdr:rowOff>
    </xdr:from>
    <xdr:to>
      <xdr:col>25</xdr:col>
      <xdr:colOff>444500</xdr:colOff>
      <xdr:row>532</xdr:row>
      <xdr:rowOff>76200</xdr:rowOff>
    </xdr:to>
    <xdr:graphicFrame macro="">
      <xdr:nvGraphicFramePr>
        <xdr:cNvPr id="53" name="Diagramm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20</xdr:col>
      <xdr:colOff>0</xdr:colOff>
      <xdr:row>392</xdr:row>
      <xdr:rowOff>0</xdr:rowOff>
    </xdr:from>
    <xdr:to>
      <xdr:col>25</xdr:col>
      <xdr:colOff>444500</xdr:colOff>
      <xdr:row>406</xdr:row>
      <xdr:rowOff>76200</xdr:rowOff>
    </xdr:to>
    <xdr:graphicFrame macro="">
      <xdr:nvGraphicFramePr>
        <xdr:cNvPr id="54" name="Diagramm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20</xdr:col>
      <xdr:colOff>0</xdr:colOff>
      <xdr:row>415</xdr:row>
      <xdr:rowOff>0</xdr:rowOff>
    </xdr:from>
    <xdr:to>
      <xdr:col>25</xdr:col>
      <xdr:colOff>444500</xdr:colOff>
      <xdr:row>429</xdr:row>
      <xdr:rowOff>76200</xdr:rowOff>
    </xdr:to>
    <xdr:graphicFrame macro="">
      <xdr:nvGraphicFramePr>
        <xdr:cNvPr id="55" name="Diagramm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20</xdr:col>
      <xdr:colOff>0</xdr:colOff>
      <xdr:row>374</xdr:row>
      <xdr:rowOff>0</xdr:rowOff>
    </xdr:from>
    <xdr:to>
      <xdr:col>25</xdr:col>
      <xdr:colOff>444500</xdr:colOff>
      <xdr:row>388</xdr:row>
      <xdr:rowOff>76200</xdr:rowOff>
    </xdr:to>
    <xdr:graphicFrame macro="">
      <xdr:nvGraphicFramePr>
        <xdr:cNvPr id="57" name="Diagramm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20</xdr:col>
      <xdr:colOff>0</xdr:colOff>
      <xdr:row>316</xdr:row>
      <xdr:rowOff>0</xdr:rowOff>
    </xdr:from>
    <xdr:to>
      <xdr:col>25</xdr:col>
      <xdr:colOff>444500</xdr:colOff>
      <xdr:row>330</xdr:row>
      <xdr:rowOff>76200</xdr:rowOff>
    </xdr:to>
    <xdr:graphicFrame macro="">
      <xdr:nvGraphicFramePr>
        <xdr:cNvPr id="58" name="Diagramm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20</xdr:col>
      <xdr:colOff>0</xdr:colOff>
      <xdr:row>293</xdr:row>
      <xdr:rowOff>0</xdr:rowOff>
    </xdr:from>
    <xdr:to>
      <xdr:col>25</xdr:col>
      <xdr:colOff>444500</xdr:colOff>
      <xdr:row>307</xdr:row>
      <xdr:rowOff>76200</xdr:rowOff>
    </xdr:to>
    <xdr:graphicFrame macro="">
      <xdr:nvGraphicFramePr>
        <xdr:cNvPr id="59" name="Diagramm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20</xdr:col>
      <xdr:colOff>0</xdr:colOff>
      <xdr:row>536</xdr:row>
      <xdr:rowOff>0</xdr:rowOff>
    </xdr:from>
    <xdr:to>
      <xdr:col>25</xdr:col>
      <xdr:colOff>444500</xdr:colOff>
      <xdr:row>544</xdr:row>
      <xdr:rowOff>30480</xdr:rowOff>
    </xdr:to>
    <xdr:graphicFrame macro="">
      <xdr:nvGraphicFramePr>
        <xdr:cNvPr id="60" name="Diagramm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20</xdr:col>
      <xdr:colOff>0</xdr:colOff>
      <xdr:row>546</xdr:row>
      <xdr:rowOff>0</xdr:rowOff>
    </xdr:from>
    <xdr:to>
      <xdr:col>25</xdr:col>
      <xdr:colOff>444500</xdr:colOff>
      <xdr:row>560</xdr:row>
      <xdr:rowOff>76200</xdr:rowOff>
    </xdr:to>
    <xdr:graphicFrame macro="">
      <xdr:nvGraphicFramePr>
        <xdr:cNvPr id="61" name="Diagramm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20</xdr:col>
      <xdr:colOff>0</xdr:colOff>
      <xdr:row>569</xdr:row>
      <xdr:rowOff>0</xdr:rowOff>
    </xdr:from>
    <xdr:to>
      <xdr:col>25</xdr:col>
      <xdr:colOff>444500</xdr:colOff>
      <xdr:row>583</xdr:row>
      <xdr:rowOff>76200</xdr:rowOff>
    </xdr:to>
    <xdr:graphicFrame macro="">
      <xdr:nvGraphicFramePr>
        <xdr:cNvPr id="62" name="Diagramm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20</xdr:col>
      <xdr:colOff>0</xdr:colOff>
      <xdr:row>91</xdr:row>
      <xdr:rowOff>0</xdr:rowOff>
    </xdr:from>
    <xdr:to>
      <xdr:col>25</xdr:col>
      <xdr:colOff>444500</xdr:colOff>
      <xdr:row>105</xdr:row>
      <xdr:rowOff>76200</xdr:rowOff>
    </xdr:to>
    <xdr:graphicFrame macro="">
      <xdr:nvGraphicFramePr>
        <xdr:cNvPr id="63" name="Diagramm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14</xdr:col>
      <xdr:colOff>0</xdr:colOff>
      <xdr:row>433</xdr:row>
      <xdr:rowOff>0</xdr:rowOff>
    </xdr:from>
    <xdr:to>
      <xdr:col>19</xdr:col>
      <xdr:colOff>444500</xdr:colOff>
      <xdr:row>447</xdr:row>
      <xdr:rowOff>76200</xdr:rowOff>
    </xdr:to>
    <xdr:graphicFrame macro="">
      <xdr:nvGraphicFramePr>
        <xdr:cNvPr id="66" name="Diagramm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20</xdr:col>
      <xdr:colOff>0</xdr:colOff>
      <xdr:row>433</xdr:row>
      <xdr:rowOff>0</xdr:rowOff>
    </xdr:from>
    <xdr:to>
      <xdr:col>25</xdr:col>
      <xdr:colOff>444500</xdr:colOff>
      <xdr:row>447</xdr:row>
      <xdr:rowOff>76200</xdr:rowOff>
    </xdr:to>
    <xdr:graphicFrame macro="">
      <xdr:nvGraphicFramePr>
        <xdr:cNvPr id="67" name="Diagramm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20</xdr:col>
      <xdr:colOff>0</xdr:colOff>
      <xdr:row>356</xdr:row>
      <xdr:rowOff>0</xdr:rowOff>
    </xdr:from>
    <xdr:to>
      <xdr:col>25</xdr:col>
      <xdr:colOff>444500</xdr:colOff>
      <xdr:row>369</xdr:row>
      <xdr:rowOff>0</xdr:rowOff>
    </xdr:to>
    <xdr:graphicFrame macro="">
      <xdr:nvGraphicFramePr>
        <xdr:cNvPr id="68" name="Diagramm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20</xdr:col>
      <xdr:colOff>0</xdr:colOff>
      <xdr:row>336</xdr:row>
      <xdr:rowOff>0</xdr:rowOff>
    </xdr:from>
    <xdr:to>
      <xdr:col>25</xdr:col>
      <xdr:colOff>444500</xdr:colOff>
      <xdr:row>350</xdr:row>
      <xdr:rowOff>76200</xdr:rowOff>
    </xdr:to>
    <xdr:graphicFrame macro="">
      <xdr:nvGraphicFramePr>
        <xdr:cNvPr id="69" name="Diagramm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14</xdr:col>
      <xdr:colOff>30480</xdr:colOff>
      <xdr:row>336</xdr:row>
      <xdr:rowOff>0</xdr:rowOff>
    </xdr:from>
    <xdr:to>
      <xdr:col>19</xdr:col>
      <xdr:colOff>474980</xdr:colOff>
      <xdr:row>350</xdr:row>
      <xdr:rowOff>76200</xdr:rowOff>
    </xdr:to>
    <xdr:graphicFrame macro="">
      <xdr:nvGraphicFramePr>
        <xdr:cNvPr id="70" name="Diagramm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14</xdr:col>
      <xdr:colOff>0</xdr:colOff>
      <xdr:row>356</xdr:row>
      <xdr:rowOff>0</xdr:rowOff>
    </xdr:from>
    <xdr:to>
      <xdr:col>19</xdr:col>
      <xdr:colOff>444500</xdr:colOff>
      <xdr:row>369</xdr:row>
      <xdr:rowOff>0</xdr:rowOff>
    </xdr:to>
    <xdr:graphicFrame macro="">
      <xdr:nvGraphicFramePr>
        <xdr:cNvPr id="71" name="Diagramm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14</xdr:col>
      <xdr:colOff>0</xdr:colOff>
      <xdr:row>198</xdr:row>
      <xdr:rowOff>0</xdr:rowOff>
    </xdr:from>
    <xdr:to>
      <xdr:col>19</xdr:col>
      <xdr:colOff>444499</xdr:colOff>
      <xdr:row>212</xdr:row>
      <xdr:rowOff>76200</xdr:rowOff>
    </xdr:to>
    <xdr:graphicFrame macro="">
      <xdr:nvGraphicFramePr>
        <xdr:cNvPr id="72" name="Diagramm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20</xdr:col>
      <xdr:colOff>0</xdr:colOff>
      <xdr:row>198</xdr:row>
      <xdr:rowOff>0</xdr:rowOff>
    </xdr:from>
    <xdr:to>
      <xdr:col>25</xdr:col>
      <xdr:colOff>444499</xdr:colOff>
      <xdr:row>212</xdr:row>
      <xdr:rowOff>76200</xdr:rowOff>
    </xdr:to>
    <xdr:graphicFrame macro="">
      <xdr:nvGraphicFramePr>
        <xdr:cNvPr id="73" name="Diagramm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14</xdr:col>
      <xdr:colOff>0</xdr:colOff>
      <xdr:row>13</xdr:row>
      <xdr:rowOff>0</xdr:rowOff>
    </xdr:from>
    <xdr:to>
      <xdr:col>19</xdr:col>
      <xdr:colOff>444500</xdr:colOff>
      <xdr:row>50</xdr:row>
      <xdr:rowOff>142240</xdr:rowOff>
    </xdr:to>
    <xdr:graphicFrame macro="">
      <xdr:nvGraphicFramePr>
        <xdr:cNvPr id="85" name="Diagramm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20</xdr:col>
      <xdr:colOff>0</xdr:colOff>
      <xdr:row>13</xdr:row>
      <xdr:rowOff>0</xdr:rowOff>
    </xdr:from>
    <xdr:to>
      <xdr:col>25</xdr:col>
      <xdr:colOff>444500</xdr:colOff>
      <xdr:row>27</xdr:row>
      <xdr:rowOff>76200</xdr:rowOff>
    </xdr:to>
    <xdr:graphicFrame macro="">
      <xdr:nvGraphicFramePr>
        <xdr:cNvPr id="86" name="Diagramm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14</xdr:col>
      <xdr:colOff>0</xdr:colOff>
      <xdr:row>57</xdr:row>
      <xdr:rowOff>0</xdr:rowOff>
    </xdr:from>
    <xdr:to>
      <xdr:col>19</xdr:col>
      <xdr:colOff>444500</xdr:colOff>
      <xdr:row>77</xdr:row>
      <xdr:rowOff>76200</xdr:rowOff>
    </xdr:to>
    <xdr:graphicFrame macro="">
      <xdr:nvGraphicFramePr>
        <xdr:cNvPr id="87" name="Diagramm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20</xdr:col>
      <xdr:colOff>0</xdr:colOff>
      <xdr:row>57</xdr:row>
      <xdr:rowOff>0</xdr:rowOff>
    </xdr:from>
    <xdr:to>
      <xdr:col>25</xdr:col>
      <xdr:colOff>444500</xdr:colOff>
      <xdr:row>77</xdr:row>
      <xdr:rowOff>76200</xdr:rowOff>
    </xdr:to>
    <xdr:graphicFrame macro="">
      <xdr:nvGraphicFramePr>
        <xdr:cNvPr id="88" name="Diagramm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14</xdr:col>
      <xdr:colOff>0</xdr:colOff>
      <xdr:row>111</xdr:row>
      <xdr:rowOff>0</xdr:rowOff>
    </xdr:from>
    <xdr:to>
      <xdr:col>19</xdr:col>
      <xdr:colOff>444499</xdr:colOff>
      <xdr:row>131</xdr:row>
      <xdr:rowOff>76200</xdr:rowOff>
    </xdr:to>
    <xdr:graphicFrame macro="">
      <xdr:nvGraphicFramePr>
        <xdr:cNvPr id="89" name="Diagramm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20</xdr:col>
      <xdr:colOff>0</xdr:colOff>
      <xdr:row>111</xdr:row>
      <xdr:rowOff>0</xdr:rowOff>
    </xdr:from>
    <xdr:to>
      <xdr:col>25</xdr:col>
      <xdr:colOff>444499</xdr:colOff>
      <xdr:row>131</xdr:row>
      <xdr:rowOff>76200</xdr:rowOff>
    </xdr:to>
    <xdr:graphicFrame macro="">
      <xdr:nvGraphicFramePr>
        <xdr:cNvPr id="90" name="Diagramm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14</xdr:col>
      <xdr:colOff>0</xdr:colOff>
      <xdr:row>151</xdr:row>
      <xdr:rowOff>0</xdr:rowOff>
    </xdr:from>
    <xdr:to>
      <xdr:col>19</xdr:col>
      <xdr:colOff>444499</xdr:colOff>
      <xdr:row>165</xdr:row>
      <xdr:rowOff>76200</xdr:rowOff>
    </xdr:to>
    <xdr:graphicFrame macro="">
      <xdr:nvGraphicFramePr>
        <xdr:cNvPr id="92" name="Diagramm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20</xdr:col>
      <xdr:colOff>0</xdr:colOff>
      <xdr:row>234</xdr:row>
      <xdr:rowOff>0</xdr:rowOff>
    </xdr:from>
    <xdr:to>
      <xdr:col>25</xdr:col>
      <xdr:colOff>444499</xdr:colOff>
      <xdr:row>248</xdr:row>
      <xdr:rowOff>76200</xdr:rowOff>
    </xdr:to>
    <xdr:graphicFrame macro="">
      <xdr:nvGraphicFramePr>
        <xdr:cNvPr id="94" name="Diagramm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14</xdr:col>
      <xdr:colOff>0</xdr:colOff>
      <xdr:row>234</xdr:row>
      <xdr:rowOff>0</xdr:rowOff>
    </xdr:from>
    <xdr:to>
      <xdr:col>19</xdr:col>
      <xdr:colOff>444499</xdr:colOff>
      <xdr:row>248</xdr:row>
      <xdr:rowOff>76200</xdr:rowOff>
    </xdr:to>
    <xdr:graphicFrame macro="">
      <xdr:nvGraphicFramePr>
        <xdr:cNvPr id="95" name="Diagramm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20</xdr:col>
      <xdr:colOff>0</xdr:colOff>
      <xdr:row>3</xdr:row>
      <xdr:rowOff>0</xdr:rowOff>
    </xdr:from>
    <xdr:to>
      <xdr:col>25</xdr:col>
      <xdr:colOff>444500</xdr:colOff>
      <xdr:row>11</xdr:row>
      <xdr:rowOff>30480</xdr:rowOff>
    </xdr:to>
    <xdr:graphicFrame macro="">
      <xdr:nvGraphicFramePr>
        <xdr:cNvPr id="96" name="Diagramm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14</xdr:col>
      <xdr:colOff>0</xdr:colOff>
      <xdr:row>166</xdr:row>
      <xdr:rowOff>0</xdr:rowOff>
    </xdr:from>
    <xdr:to>
      <xdr:col>19</xdr:col>
      <xdr:colOff>444499</xdr:colOff>
      <xdr:row>180</xdr:row>
      <xdr:rowOff>76200</xdr:rowOff>
    </xdr:to>
    <xdr:graphicFrame macro="">
      <xdr:nvGraphicFramePr>
        <xdr:cNvPr id="98" name="Diagramm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20</xdr:col>
      <xdr:colOff>0</xdr:colOff>
      <xdr:row>151</xdr:row>
      <xdr:rowOff>0</xdr:rowOff>
    </xdr:from>
    <xdr:to>
      <xdr:col>25</xdr:col>
      <xdr:colOff>444499</xdr:colOff>
      <xdr:row>165</xdr:row>
      <xdr:rowOff>76200</xdr:rowOff>
    </xdr:to>
    <xdr:graphicFrame macro="">
      <xdr:nvGraphicFramePr>
        <xdr:cNvPr id="99" name="Diagramm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20</xdr:col>
      <xdr:colOff>0</xdr:colOff>
      <xdr:row>508</xdr:row>
      <xdr:rowOff>0</xdr:rowOff>
    </xdr:from>
    <xdr:to>
      <xdr:col>25</xdr:col>
      <xdr:colOff>444500</xdr:colOff>
      <xdr:row>517</xdr:row>
      <xdr:rowOff>10160</xdr:rowOff>
    </xdr:to>
    <xdr:graphicFrame macro="">
      <xdr:nvGraphicFramePr>
        <xdr:cNvPr id="49" name="Diagramm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14</xdr:col>
      <xdr:colOff>0</xdr:colOff>
      <xdr:row>587</xdr:row>
      <xdr:rowOff>10160</xdr:rowOff>
    </xdr:from>
    <xdr:to>
      <xdr:col>19</xdr:col>
      <xdr:colOff>444500</xdr:colOff>
      <xdr:row>595</xdr:row>
      <xdr:rowOff>40640</xdr:rowOff>
    </xdr:to>
    <xdr:graphicFrame macro="">
      <xdr:nvGraphicFramePr>
        <xdr:cNvPr id="56" name="Diagramm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14</xdr:col>
      <xdr:colOff>0</xdr:colOff>
      <xdr:row>597</xdr:row>
      <xdr:rowOff>0</xdr:rowOff>
    </xdr:from>
    <xdr:to>
      <xdr:col>19</xdr:col>
      <xdr:colOff>444500</xdr:colOff>
      <xdr:row>604</xdr:row>
      <xdr:rowOff>30480</xdr:rowOff>
    </xdr:to>
    <xdr:graphicFrame macro="">
      <xdr:nvGraphicFramePr>
        <xdr:cNvPr id="64" name="Diagramm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14</xdr:col>
      <xdr:colOff>0</xdr:colOff>
      <xdr:row>606</xdr:row>
      <xdr:rowOff>10160</xdr:rowOff>
    </xdr:from>
    <xdr:to>
      <xdr:col>19</xdr:col>
      <xdr:colOff>444500</xdr:colOff>
      <xdr:row>613</xdr:row>
      <xdr:rowOff>40640</xdr:rowOff>
    </xdr:to>
    <xdr:graphicFrame macro="">
      <xdr:nvGraphicFramePr>
        <xdr:cNvPr id="65" name="Diagramm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20</xdr:col>
      <xdr:colOff>0</xdr:colOff>
      <xdr:row>587</xdr:row>
      <xdr:rowOff>10160</xdr:rowOff>
    </xdr:from>
    <xdr:to>
      <xdr:col>25</xdr:col>
      <xdr:colOff>444500</xdr:colOff>
      <xdr:row>596</xdr:row>
      <xdr:rowOff>10160</xdr:rowOff>
    </xdr:to>
    <xdr:graphicFrame macro="">
      <xdr:nvGraphicFramePr>
        <xdr:cNvPr id="74" name="Diagramm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20</xdr:col>
      <xdr:colOff>0</xdr:colOff>
      <xdr:row>597</xdr:row>
      <xdr:rowOff>20320</xdr:rowOff>
    </xdr:from>
    <xdr:to>
      <xdr:col>25</xdr:col>
      <xdr:colOff>444500</xdr:colOff>
      <xdr:row>605</xdr:row>
      <xdr:rowOff>20320</xdr:rowOff>
    </xdr:to>
    <xdr:graphicFrame macro="">
      <xdr:nvGraphicFramePr>
        <xdr:cNvPr id="75" name="Diagramm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20</xdr:col>
      <xdr:colOff>0</xdr:colOff>
      <xdr:row>606</xdr:row>
      <xdr:rowOff>20320</xdr:rowOff>
    </xdr:from>
    <xdr:to>
      <xdr:col>25</xdr:col>
      <xdr:colOff>444500</xdr:colOff>
      <xdr:row>614</xdr:row>
      <xdr:rowOff>20320</xdr:rowOff>
    </xdr:to>
    <xdr:graphicFrame macro="">
      <xdr:nvGraphicFramePr>
        <xdr:cNvPr id="76" name="Diagramm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47"/>
  <sheetViews>
    <sheetView tabSelected="1" workbookViewId="0">
      <pane ySplit="1" topLeftCell="A2" activePane="bottomLeft" state="frozen"/>
      <selection pane="bottomLeft" activeCell="E25" sqref="E25"/>
    </sheetView>
  </sheetViews>
  <sheetFormatPr baseColWidth="10" defaultRowHeight="14" x14ac:dyDescent="0.15"/>
  <cols>
    <col min="1" max="1" width="18.6640625" style="2" bestFit="1" customWidth="1"/>
    <col min="2" max="3" width="15.83203125" style="49" customWidth="1"/>
    <col min="4" max="4" width="14.33203125" style="20" customWidth="1"/>
    <col min="5" max="5" width="11.83203125" style="21" customWidth="1"/>
    <col min="6" max="6" width="13.83203125" style="22" customWidth="1"/>
    <col min="7" max="8" width="11.83203125" style="21" customWidth="1"/>
    <col min="9" max="9" width="11.83203125" style="50" customWidth="1"/>
    <col min="10" max="10" width="19.83203125" style="21" bestFit="1" customWidth="1"/>
    <col min="11" max="11" width="23" style="22" bestFit="1" customWidth="1"/>
    <col min="12" max="13" width="23" style="22" customWidth="1"/>
    <col min="14" max="20" width="10.83203125" style="1"/>
    <col min="21" max="21" width="10.83203125" style="20"/>
    <col min="22" max="16384" width="10.83203125" style="1"/>
  </cols>
  <sheetData>
    <row r="1" spans="1:29" ht="18" x14ac:dyDescent="0.25">
      <c r="A1" s="14" t="s">
        <v>7</v>
      </c>
      <c r="B1" s="15" t="s">
        <v>52</v>
      </c>
      <c r="C1" s="15" t="s">
        <v>53</v>
      </c>
      <c r="D1" s="18" t="s">
        <v>1</v>
      </c>
      <c r="E1" s="14" t="s">
        <v>2</v>
      </c>
      <c r="F1" s="15" t="s">
        <v>3</v>
      </c>
      <c r="G1" s="14" t="s">
        <v>4</v>
      </c>
      <c r="H1" s="14" t="s">
        <v>5</v>
      </c>
      <c r="I1" s="80" t="s">
        <v>185</v>
      </c>
      <c r="J1" s="14" t="s">
        <v>6</v>
      </c>
      <c r="K1" s="15" t="s">
        <v>186</v>
      </c>
      <c r="L1" s="15" t="s">
        <v>204</v>
      </c>
      <c r="M1" s="15" t="s">
        <v>184</v>
      </c>
      <c r="U1" s="78" t="s">
        <v>183</v>
      </c>
      <c r="X1" s="109"/>
      <c r="Y1" s="109"/>
      <c r="Z1" s="109"/>
      <c r="AA1" s="109"/>
      <c r="AB1" s="109"/>
      <c r="AC1" s="109"/>
    </row>
    <row r="2" spans="1:29" s="2" customFormat="1" x14ac:dyDescent="0.15">
      <c r="A2" s="14"/>
      <c r="B2" s="15"/>
      <c r="C2" s="15"/>
      <c r="D2" s="18"/>
      <c r="E2" s="14"/>
      <c r="F2" s="15"/>
      <c r="G2" s="14"/>
      <c r="H2" s="14"/>
      <c r="I2" s="80"/>
      <c r="J2" s="14"/>
      <c r="K2" s="15"/>
      <c r="L2" s="15"/>
      <c r="M2" s="15"/>
      <c r="U2" s="18"/>
      <c r="X2" s="124"/>
      <c r="Y2" s="124"/>
      <c r="Z2" s="124"/>
      <c r="AA2" s="124"/>
      <c r="AB2" s="124"/>
      <c r="AC2" s="124"/>
    </row>
    <row r="3" spans="1:29" s="2" customFormat="1" x14ac:dyDescent="0.15">
      <c r="A3" s="16"/>
      <c r="B3" s="17"/>
      <c r="C3" s="17"/>
      <c r="D3" s="19"/>
      <c r="E3" s="16"/>
      <c r="F3" s="17"/>
      <c r="G3" s="16"/>
      <c r="H3" s="16"/>
      <c r="I3" s="81"/>
      <c r="J3" s="16"/>
      <c r="K3" s="17"/>
      <c r="L3" s="17"/>
      <c r="M3" s="17"/>
      <c r="U3" s="18"/>
    </row>
    <row r="4" spans="1:29" s="2" customFormat="1" x14ac:dyDescent="0.15">
      <c r="A4" s="47" t="s">
        <v>56</v>
      </c>
      <c r="B4" s="48" t="s">
        <v>57</v>
      </c>
      <c r="C4" s="48" t="s">
        <v>58</v>
      </c>
      <c r="D4" s="79" t="s">
        <v>8</v>
      </c>
      <c r="E4" s="1">
        <v>17.100000000000001</v>
      </c>
      <c r="F4" s="1" t="s">
        <v>56</v>
      </c>
      <c r="G4" s="40">
        <v>2.3400000000000001E-2</v>
      </c>
      <c r="H4" s="41">
        <v>8.4799999999999997E-3</v>
      </c>
      <c r="I4" s="82">
        <v>45</v>
      </c>
      <c r="J4" s="1" t="s">
        <v>223</v>
      </c>
      <c r="K4" s="1">
        <f t="shared" ref="K4:K11" si="0">H4*COS(RADIANS(I4))/E4</f>
        <v>3.5065880143052183E-4</v>
      </c>
      <c r="L4" s="1">
        <f>H4/E4</f>
        <v>4.9590643274853791E-4</v>
      </c>
      <c r="M4" s="1">
        <f t="shared" ref="M4:M10" si="1">G4/(E4^0.33)</f>
        <v>9.1691091148488231E-3</v>
      </c>
      <c r="U4" s="18"/>
    </row>
    <row r="5" spans="1:29" s="49" customFormat="1" x14ac:dyDescent="0.15">
      <c r="A5" s="48"/>
      <c r="B5" s="48"/>
      <c r="C5" s="48"/>
      <c r="D5" s="26" t="s">
        <v>11</v>
      </c>
      <c r="E5" s="42">
        <v>90</v>
      </c>
      <c r="F5" s="1" t="s">
        <v>56</v>
      </c>
      <c r="G5" s="3">
        <v>5.3999999999999999E-2</v>
      </c>
      <c r="H5" s="4">
        <v>2.0639999999999999E-2</v>
      </c>
      <c r="I5" s="83">
        <v>23.333333333333332</v>
      </c>
      <c r="J5" s="1" t="s">
        <v>223</v>
      </c>
      <c r="K5" s="1">
        <f t="shared" si="0"/>
        <v>2.1057756051120951E-4</v>
      </c>
      <c r="L5" s="1">
        <f t="shared" ref="L5:L68" si="2">H5/E5</f>
        <v>2.2933333333333332E-4</v>
      </c>
      <c r="M5" s="1">
        <f t="shared" si="1"/>
        <v>1.2231894642917062E-2</v>
      </c>
      <c r="U5" s="78"/>
    </row>
    <row r="6" spans="1:29" s="49" customFormat="1" x14ac:dyDescent="0.15">
      <c r="A6" s="48"/>
      <c r="B6" s="48"/>
      <c r="C6" s="48"/>
      <c r="D6" s="20" t="s">
        <v>12</v>
      </c>
      <c r="E6" s="1">
        <v>20.190000000000001</v>
      </c>
      <c r="F6" s="1" t="s">
        <v>56</v>
      </c>
      <c r="G6" s="3">
        <v>4.5499999999999999E-2</v>
      </c>
      <c r="H6" s="4">
        <v>9.7000000000000003E-3</v>
      </c>
      <c r="I6" s="84">
        <v>0</v>
      </c>
      <c r="J6" s="1" t="s">
        <v>223</v>
      </c>
      <c r="K6" s="1">
        <f t="shared" si="0"/>
        <v>4.8043585933630511E-4</v>
      </c>
      <c r="L6" s="1">
        <f t="shared" si="2"/>
        <v>4.8043585933630511E-4</v>
      </c>
      <c r="M6" s="1">
        <f t="shared" si="1"/>
        <v>1.687782235245671E-2</v>
      </c>
      <c r="U6" s="78"/>
    </row>
    <row r="7" spans="1:29" s="49" customFormat="1" x14ac:dyDescent="0.15">
      <c r="A7" s="48"/>
      <c r="B7" s="48"/>
      <c r="C7" s="48"/>
      <c r="D7" s="20" t="s">
        <v>13</v>
      </c>
      <c r="E7" s="1">
        <v>27.7</v>
      </c>
      <c r="F7" s="1" t="s">
        <v>56</v>
      </c>
      <c r="G7" s="3">
        <v>3.7999999999999999E-2</v>
      </c>
      <c r="H7" s="4">
        <v>1.226E-2</v>
      </c>
      <c r="I7" s="83">
        <v>15</v>
      </c>
      <c r="J7" s="1" t="s">
        <v>223</v>
      </c>
      <c r="K7" s="1">
        <f t="shared" si="0"/>
        <v>4.2751807329617251E-4</v>
      </c>
      <c r="L7" s="1">
        <f t="shared" si="2"/>
        <v>4.4259927797833936E-4</v>
      </c>
      <c r="M7" s="1">
        <f t="shared" si="1"/>
        <v>1.2698875717599426E-2</v>
      </c>
      <c r="U7" s="78"/>
    </row>
    <row r="8" spans="1:29" s="49" customFormat="1" x14ac:dyDescent="0.15">
      <c r="A8" s="48"/>
      <c r="B8" s="48"/>
      <c r="C8" s="48"/>
      <c r="D8" s="26" t="s">
        <v>14</v>
      </c>
      <c r="E8" s="42">
        <v>278</v>
      </c>
      <c r="F8" s="1" t="s">
        <v>56</v>
      </c>
      <c r="G8" s="3">
        <v>5.6000000000000001E-2</v>
      </c>
      <c r="H8" s="4">
        <v>5.8000000000000003E-2</v>
      </c>
      <c r="I8" s="83">
        <v>18</v>
      </c>
      <c r="J8" s="1" t="s">
        <v>223</v>
      </c>
      <c r="K8" s="1">
        <f t="shared" si="0"/>
        <v>1.9842186311193853E-4</v>
      </c>
      <c r="L8" s="1">
        <f t="shared" si="2"/>
        <v>2.0863309352517988E-4</v>
      </c>
      <c r="M8" s="1">
        <f t="shared" si="1"/>
        <v>8.7428543692235038E-3</v>
      </c>
      <c r="U8" s="78"/>
    </row>
    <row r="9" spans="1:29" s="49" customFormat="1" x14ac:dyDescent="0.15">
      <c r="A9" s="48"/>
      <c r="B9" s="48"/>
      <c r="C9" s="48"/>
      <c r="D9" s="26" t="s">
        <v>15</v>
      </c>
      <c r="E9" s="42">
        <v>7.7</v>
      </c>
      <c r="F9" s="1" t="s">
        <v>56</v>
      </c>
      <c r="G9" s="3">
        <v>1.8599999999999998E-2</v>
      </c>
      <c r="H9" s="4">
        <v>3.0469999999999998E-3</v>
      </c>
      <c r="I9" s="83">
        <v>20</v>
      </c>
      <c r="J9" s="1" t="s">
        <v>223</v>
      </c>
      <c r="K9" s="1">
        <f t="shared" si="0"/>
        <v>3.7184979422528086E-4</v>
      </c>
      <c r="L9" s="1">
        <f t="shared" si="2"/>
        <v>3.957142857142857E-4</v>
      </c>
      <c r="M9" s="1">
        <f t="shared" si="1"/>
        <v>9.4835514552703941E-3</v>
      </c>
      <c r="U9" s="78"/>
    </row>
    <row r="10" spans="1:29" s="49" customFormat="1" x14ac:dyDescent="0.15">
      <c r="A10" s="48"/>
      <c r="B10" s="48"/>
      <c r="C10" s="48"/>
      <c r="D10" s="20" t="s">
        <v>14</v>
      </c>
      <c r="E10" s="1">
        <v>3.7</v>
      </c>
      <c r="F10" s="1" t="s">
        <v>56</v>
      </c>
      <c r="G10" s="40">
        <v>1.9973000000000001E-2</v>
      </c>
      <c r="H10" s="41">
        <v>1.8615999999999999E-3</v>
      </c>
      <c r="I10" s="82">
        <v>29.33333</v>
      </c>
      <c r="J10" s="1" t="s">
        <v>222</v>
      </c>
      <c r="K10" s="1">
        <f t="shared" si="0"/>
        <v>4.3862538313369187E-4</v>
      </c>
      <c r="L10" s="1">
        <f t="shared" si="2"/>
        <v>5.0313513513513511E-4</v>
      </c>
      <c r="M10" s="1">
        <f t="shared" si="1"/>
        <v>1.2969903149093107E-2</v>
      </c>
      <c r="U10" s="78"/>
    </row>
    <row r="11" spans="1:29" s="49" customFormat="1" x14ac:dyDescent="0.15">
      <c r="A11" s="10"/>
      <c r="B11" s="48"/>
      <c r="C11" s="48"/>
      <c r="D11" s="18" t="s">
        <v>111</v>
      </c>
      <c r="E11" s="21">
        <v>0.89984193999999995</v>
      </c>
      <c r="F11" s="22" t="s">
        <v>56</v>
      </c>
      <c r="G11" s="21"/>
      <c r="H11" s="72">
        <v>6.1165577235000005E-4</v>
      </c>
      <c r="I11" s="85">
        <f>AVERAGE(I4:I10)</f>
        <v>21.523809047619046</v>
      </c>
      <c r="J11" s="21" t="s">
        <v>206</v>
      </c>
      <c r="K11" s="72">
        <f t="shared" si="0"/>
        <v>6.3233557766247768E-4</v>
      </c>
      <c r="L11" s="102">
        <f t="shared" si="2"/>
        <v>6.7973690173854322E-4</v>
      </c>
      <c r="M11" s="22"/>
      <c r="U11" s="78"/>
    </row>
    <row r="12" spans="1:29" s="49" customFormat="1" x14ac:dyDescent="0.15">
      <c r="A12" s="48"/>
      <c r="B12" s="48"/>
      <c r="C12" s="48"/>
      <c r="D12" s="18"/>
      <c r="E12" s="21"/>
      <c r="F12" s="22"/>
      <c r="G12" s="21"/>
      <c r="H12" s="22"/>
      <c r="I12" s="97"/>
      <c r="J12" s="22"/>
      <c r="K12" s="22"/>
      <c r="L12" s="22"/>
      <c r="M12" s="22"/>
      <c r="U12" s="78"/>
    </row>
    <row r="13" spans="1:29" s="49" customFormat="1" x14ac:dyDescent="0.15">
      <c r="A13" s="48"/>
      <c r="B13" s="48"/>
      <c r="C13" s="48"/>
      <c r="D13" s="78"/>
      <c r="E13" s="15"/>
      <c r="F13" s="15"/>
      <c r="G13" s="15"/>
      <c r="H13" s="15"/>
      <c r="I13" s="86"/>
      <c r="J13" s="15"/>
      <c r="K13" s="15"/>
      <c r="L13" s="15"/>
      <c r="M13" s="15"/>
      <c r="U13" s="78"/>
    </row>
    <row r="14" spans="1:29" s="49" customFormat="1" x14ac:dyDescent="0.15">
      <c r="A14" s="47" t="s">
        <v>129</v>
      </c>
      <c r="B14" s="48" t="s">
        <v>57</v>
      </c>
      <c r="C14" s="48" t="s">
        <v>58</v>
      </c>
      <c r="D14" s="20" t="s">
        <v>8</v>
      </c>
      <c r="E14" s="1">
        <v>17.100000000000001</v>
      </c>
      <c r="F14" s="1" t="s">
        <v>125</v>
      </c>
      <c r="G14" s="40">
        <v>9.5400000000000013E-2</v>
      </c>
      <c r="H14" s="41">
        <v>2.2970000000000001E-2</v>
      </c>
      <c r="I14" s="82">
        <v>0</v>
      </c>
      <c r="J14" s="1" t="s">
        <v>10</v>
      </c>
      <c r="K14" s="1">
        <f t="shared" ref="K14:K55" si="3">H14*COS(RADIANS(I14))/E14</f>
        <v>1.3432748538011695E-3</v>
      </c>
      <c r="L14" s="1">
        <f t="shared" si="2"/>
        <v>1.3432748538011695E-3</v>
      </c>
      <c r="M14" s="1">
        <f t="shared" ref="M14:M51" si="4">G14/(E14^0.33)</f>
        <v>3.7381752545152899E-2</v>
      </c>
      <c r="O14" s="9"/>
      <c r="U14" s="78"/>
    </row>
    <row r="15" spans="1:29" s="49" customFormat="1" x14ac:dyDescent="0.15">
      <c r="A15" s="48"/>
      <c r="B15" s="48"/>
      <c r="C15" s="48"/>
      <c r="D15" s="20" t="s">
        <v>8</v>
      </c>
      <c r="E15" s="1">
        <v>17.100000000000001</v>
      </c>
      <c r="F15" s="1" t="s">
        <v>126</v>
      </c>
      <c r="G15" s="40">
        <v>4.2625000000000003E-2</v>
      </c>
      <c r="H15" s="41">
        <v>2.29E-2</v>
      </c>
      <c r="I15" s="82">
        <v>35.333333333333336</v>
      </c>
      <c r="J15" s="1" t="s">
        <v>223</v>
      </c>
      <c r="K15" s="1">
        <f t="shared" si="3"/>
        <v>1.0925057917082772E-3</v>
      </c>
      <c r="L15" s="1">
        <f t="shared" si="2"/>
        <v>1.3391812865497074E-3</v>
      </c>
      <c r="M15" s="1">
        <f t="shared" si="4"/>
        <v>1.6702276753009879E-2</v>
      </c>
      <c r="O15" s="9"/>
      <c r="U15" s="78"/>
    </row>
    <row r="16" spans="1:29" s="49" customFormat="1" x14ac:dyDescent="0.15">
      <c r="A16" s="48"/>
      <c r="B16" s="48"/>
      <c r="C16" s="48"/>
      <c r="D16" s="20" t="s">
        <v>8</v>
      </c>
      <c r="E16" s="1">
        <v>17.100000000000001</v>
      </c>
      <c r="F16" s="1" t="s">
        <v>127</v>
      </c>
      <c r="G16" s="40">
        <v>3.6142857142857143E-2</v>
      </c>
      <c r="H16" s="41">
        <v>1.391E-2</v>
      </c>
      <c r="I16" s="82">
        <v>24.166666666666668</v>
      </c>
      <c r="J16" s="1" t="s">
        <v>223</v>
      </c>
      <c r="K16" s="1">
        <f t="shared" si="3"/>
        <v>7.4215824414388461E-4</v>
      </c>
      <c r="L16" s="1">
        <f t="shared" si="2"/>
        <v>8.1345029239766073E-4</v>
      </c>
      <c r="M16" s="1">
        <f t="shared" si="4"/>
        <v>1.4162299182275656E-2</v>
      </c>
      <c r="O16" s="9"/>
      <c r="U16" s="78"/>
    </row>
    <row r="17" spans="1:21" s="49" customFormat="1" x14ac:dyDescent="0.15">
      <c r="A17" s="48"/>
      <c r="B17" s="48"/>
      <c r="C17" s="48"/>
      <c r="D17" s="20" t="s">
        <v>8</v>
      </c>
      <c r="E17" s="1">
        <v>17.100000000000001</v>
      </c>
      <c r="F17" s="1" t="s">
        <v>128</v>
      </c>
      <c r="G17" s="3">
        <f>AVERAGE(G14:G16)</f>
        <v>5.8055952380952382E-2</v>
      </c>
      <c r="H17" s="4">
        <f>SUM(H14:H16)</f>
        <v>5.978E-2</v>
      </c>
      <c r="I17" s="83">
        <f>AVERAGE(I14:I16)</f>
        <v>19.833333333333332</v>
      </c>
      <c r="J17" s="1" t="s">
        <v>223</v>
      </c>
      <c r="K17" s="24">
        <f t="shared" si="3"/>
        <v>3.2885416386829298E-3</v>
      </c>
      <c r="L17" s="24">
        <f t="shared" si="2"/>
        <v>3.4959064327485375E-3</v>
      </c>
      <c r="M17" s="106">
        <f t="shared" si="4"/>
        <v>2.2748776160146145E-2</v>
      </c>
      <c r="O17" s="9"/>
      <c r="U17" s="78"/>
    </row>
    <row r="18" spans="1:21" s="49" customFormat="1" x14ac:dyDescent="0.15">
      <c r="A18" s="14"/>
      <c r="B18" s="15"/>
      <c r="C18" s="15"/>
      <c r="D18" s="20" t="s">
        <v>11</v>
      </c>
      <c r="E18" s="1">
        <v>90</v>
      </c>
      <c r="F18" s="1" t="s">
        <v>125</v>
      </c>
      <c r="G18" s="3">
        <v>0.10640000000000001</v>
      </c>
      <c r="H18" s="4">
        <v>9.5000000000000001E-2</v>
      </c>
      <c r="I18" s="83">
        <v>24</v>
      </c>
      <c r="J18" s="1" t="s">
        <v>223</v>
      </c>
      <c r="K18" s="1">
        <f t="shared" si="3"/>
        <v>9.6429798306718975E-4</v>
      </c>
      <c r="L18" s="1">
        <f t="shared" si="2"/>
        <v>1.0555555555555557E-3</v>
      </c>
      <c r="M18" s="1">
        <f t="shared" si="4"/>
        <v>2.4101362777895843E-2</v>
      </c>
      <c r="O18" s="9"/>
      <c r="U18" s="78"/>
    </row>
    <row r="19" spans="1:21" s="49" customFormat="1" x14ac:dyDescent="0.15">
      <c r="A19" s="14"/>
      <c r="B19" s="15"/>
      <c r="C19" s="15"/>
      <c r="D19" s="20" t="s">
        <v>11</v>
      </c>
      <c r="E19" s="1">
        <v>90</v>
      </c>
      <c r="F19" s="1" t="s">
        <v>126</v>
      </c>
      <c r="G19" s="3">
        <v>8.7999999999999995E-2</v>
      </c>
      <c r="H19" s="4">
        <v>6.3299999999999995E-2</v>
      </c>
      <c r="I19" s="83">
        <v>15.714285714285714</v>
      </c>
      <c r="J19" s="1" t="s">
        <v>223</v>
      </c>
      <c r="K19" s="1">
        <f t="shared" si="3"/>
        <v>6.7704572035484167E-4</v>
      </c>
      <c r="L19" s="1">
        <f t="shared" si="2"/>
        <v>7.0333333333333326E-4</v>
      </c>
      <c r="M19" s="1">
        <f t="shared" si="4"/>
        <v>1.9933457936605583E-2</v>
      </c>
      <c r="O19" s="9"/>
      <c r="U19" s="78"/>
    </row>
    <row r="20" spans="1:21" s="49" customFormat="1" x14ac:dyDescent="0.15">
      <c r="A20" s="14"/>
      <c r="B20" s="15"/>
      <c r="C20" s="15"/>
      <c r="D20" s="20" t="s">
        <v>11</v>
      </c>
      <c r="E20" s="1">
        <v>90</v>
      </c>
      <c r="F20" s="1" t="s">
        <v>127</v>
      </c>
      <c r="G20" s="3">
        <v>0.11133333333333333</v>
      </c>
      <c r="H20" s="4">
        <v>3.56E-2</v>
      </c>
      <c r="I20" s="83">
        <v>8</v>
      </c>
      <c r="J20" s="1" t="s">
        <v>223</v>
      </c>
      <c r="K20" s="1">
        <f t="shared" si="3"/>
        <v>3.9170603607999893E-4</v>
      </c>
      <c r="L20" s="1">
        <f t="shared" si="2"/>
        <v>3.9555555555555557E-4</v>
      </c>
      <c r="M20" s="1">
        <f t="shared" si="4"/>
        <v>2.5218844510705548E-2</v>
      </c>
      <c r="O20" s="9"/>
      <c r="U20" s="78"/>
    </row>
    <row r="21" spans="1:21" s="49" customFormat="1" x14ac:dyDescent="0.15">
      <c r="A21" s="14"/>
      <c r="B21" s="15"/>
      <c r="C21" s="15"/>
      <c r="D21" s="20" t="s">
        <v>11</v>
      </c>
      <c r="E21" s="1">
        <v>90</v>
      </c>
      <c r="F21" s="1" t="s">
        <v>128</v>
      </c>
      <c r="G21" s="3">
        <f>AVERAGE(G18:G20)</f>
        <v>0.10191111111111112</v>
      </c>
      <c r="H21" s="4">
        <f>SUM(H18:H20)</f>
        <v>0.19389999999999999</v>
      </c>
      <c r="I21" s="83">
        <f>AVERAGE(I18:I20)</f>
        <v>15.904761904761905</v>
      </c>
      <c r="J21" s="1" t="s">
        <v>223</v>
      </c>
      <c r="K21" s="24">
        <f t="shared" si="3"/>
        <v>2.0719691596454465E-3</v>
      </c>
      <c r="L21" s="24">
        <f t="shared" si="2"/>
        <v>2.1544444444444445E-3</v>
      </c>
      <c r="M21" s="106">
        <f t="shared" si="4"/>
        <v>2.3084555075068992E-2</v>
      </c>
      <c r="P21" s="9"/>
      <c r="U21" s="78"/>
    </row>
    <row r="22" spans="1:21" s="49" customFormat="1" x14ac:dyDescent="0.15">
      <c r="A22" s="14"/>
      <c r="B22" s="15"/>
      <c r="C22" s="15"/>
      <c r="D22" s="20" t="s">
        <v>12</v>
      </c>
      <c r="E22" s="1">
        <v>20.190000000000001</v>
      </c>
      <c r="F22" s="1" t="s">
        <v>125</v>
      </c>
      <c r="G22" s="3">
        <v>6.8580000000000002E-2</v>
      </c>
      <c r="H22" s="4">
        <v>2.1000000000000001E-2</v>
      </c>
      <c r="I22" s="84">
        <v>0</v>
      </c>
      <c r="J22" s="1" t="s">
        <v>223</v>
      </c>
      <c r="K22" s="1">
        <f t="shared" si="3"/>
        <v>1.0401188707280832E-3</v>
      </c>
      <c r="L22" s="1">
        <f t="shared" si="2"/>
        <v>1.0401188707280832E-3</v>
      </c>
      <c r="M22" s="1">
        <f t="shared" si="4"/>
        <v>2.5439144108384201E-2</v>
      </c>
      <c r="P22" s="9"/>
      <c r="U22" s="78"/>
    </row>
    <row r="23" spans="1:21" s="49" customFormat="1" x14ac:dyDescent="0.15">
      <c r="A23" s="14"/>
      <c r="B23" s="15"/>
      <c r="C23" s="15"/>
      <c r="D23" s="20" t="s">
        <v>12</v>
      </c>
      <c r="E23" s="1">
        <v>20.190000000000001</v>
      </c>
      <c r="F23" s="1" t="s">
        <v>126</v>
      </c>
      <c r="G23" s="3">
        <v>7.7520000000000006E-2</v>
      </c>
      <c r="H23" s="4">
        <v>1.4400000000000001E-2</v>
      </c>
      <c r="I23" s="84">
        <v>0</v>
      </c>
      <c r="J23" s="1" t="s">
        <v>223</v>
      </c>
      <c r="K23" s="1">
        <f t="shared" si="3"/>
        <v>7.1322436849925708E-4</v>
      </c>
      <c r="L23" s="1">
        <f t="shared" si="2"/>
        <v>7.1322436849925708E-4</v>
      </c>
      <c r="M23" s="1">
        <f t="shared" si="4"/>
        <v>2.8755357994778994E-2</v>
      </c>
      <c r="P23" s="9"/>
      <c r="U23" s="78"/>
    </row>
    <row r="24" spans="1:21" s="49" customFormat="1" x14ac:dyDescent="0.15">
      <c r="A24" s="14"/>
      <c r="B24" s="15"/>
      <c r="C24" s="15"/>
      <c r="D24" s="20" t="s">
        <v>12</v>
      </c>
      <c r="E24" s="1">
        <v>20.190000000000001</v>
      </c>
      <c r="F24" s="1" t="s">
        <v>127</v>
      </c>
      <c r="G24" s="3">
        <v>4.3479999999999998E-2</v>
      </c>
      <c r="H24" s="4">
        <v>1.41E-2</v>
      </c>
      <c r="I24" s="84">
        <v>0</v>
      </c>
      <c r="J24" s="1" t="s">
        <v>223</v>
      </c>
      <c r="K24" s="1">
        <f t="shared" si="3"/>
        <v>6.9836552748885582E-4</v>
      </c>
      <c r="L24" s="1">
        <f t="shared" si="2"/>
        <v>6.9836552748885582E-4</v>
      </c>
      <c r="M24" s="1">
        <f t="shared" si="4"/>
        <v>1.6128521228237751E-2</v>
      </c>
      <c r="P24" s="9"/>
      <c r="U24" s="78"/>
    </row>
    <row r="25" spans="1:21" s="49" customFormat="1" x14ac:dyDescent="0.15">
      <c r="A25" s="14"/>
      <c r="B25" s="15"/>
      <c r="C25" s="15"/>
      <c r="D25" s="20" t="s">
        <v>12</v>
      </c>
      <c r="E25" s="1">
        <v>20.190000000000001</v>
      </c>
      <c r="F25" s="1" t="s">
        <v>128</v>
      </c>
      <c r="G25" s="3">
        <f>AVERAGE(G22:G24)</f>
        <v>6.3193333333333337E-2</v>
      </c>
      <c r="H25" s="4">
        <f>SUM(H22:H24)</f>
        <v>4.9500000000000002E-2</v>
      </c>
      <c r="I25" s="83">
        <v>0</v>
      </c>
      <c r="J25" s="1" t="s">
        <v>223</v>
      </c>
      <c r="K25" s="24">
        <f t="shared" si="3"/>
        <v>2.4517087667161961E-3</v>
      </c>
      <c r="L25" s="24">
        <f t="shared" si="2"/>
        <v>2.4517087667161961E-3</v>
      </c>
      <c r="M25" s="106">
        <f t="shared" si="4"/>
        <v>2.3441007777133649E-2</v>
      </c>
      <c r="P25" s="9"/>
      <c r="U25" s="78"/>
    </row>
    <row r="26" spans="1:21" s="49" customFormat="1" x14ac:dyDescent="0.15">
      <c r="A26" s="48"/>
      <c r="B26" s="48"/>
      <c r="C26" s="48"/>
      <c r="D26" s="20" t="s">
        <v>13</v>
      </c>
      <c r="E26" s="1">
        <v>27.7</v>
      </c>
      <c r="F26" s="1" t="s">
        <v>125</v>
      </c>
      <c r="G26" s="3">
        <v>5.683333333333334E-2</v>
      </c>
      <c r="H26" s="4">
        <v>2.6499999999999999E-2</v>
      </c>
      <c r="I26" s="83">
        <v>23.333333333333332</v>
      </c>
      <c r="J26" s="1" t="s">
        <v>223</v>
      </c>
      <c r="K26" s="1">
        <f t="shared" si="3"/>
        <v>8.7843779178076761E-4</v>
      </c>
      <c r="L26" s="1">
        <f t="shared" si="2"/>
        <v>9.5667870036101081E-4</v>
      </c>
      <c r="M26" s="1">
        <f t="shared" si="4"/>
        <v>1.8992616753076338E-2</v>
      </c>
      <c r="P26" s="9"/>
      <c r="U26" s="78"/>
    </row>
    <row r="27" spans="1:21" s="49" customFormat="1" x14ac:dyDescent="0.15">
      <c r="A27" s="48"/>
      <c r="B27" s="48"/>
      <c r="C27" s="48"/>
      <c r="D27" s="20" t="s">
        <v>13</v>
      </c>
      <c r="E27" s="1">
        <v>27.7</v>
      </c>
      <c r="F27" s="1" t="s">
        <v>126</v>
      </c>
      <c r="G27" s="3">
        <v>0.10666666666666667</v>
      </c>
      <c r="H27" s="4">
        <v>1.8700000000000001E-2</v>
      </c>
      <c r="I27" s="83">
        <v>0</v>
      </c>
      <c r="J27" s="1" t="s">
        <v>223</v>
      </c>
      <c r="K27" s="1">
        <f t="shared" si="3"/>
        <v>6.7509025270758125E-4</v>
      </c>
      <c r="L27" s="1">
        <f t="shared" si="2"/>
        <v>6.7509025270758125E-4</v>
      </c>
      <c r="M27" s="1">
        <f t="shared" si="4"/>
        <v>3.5645966926594885E-2</v>
      </c>
      <c r="P27" s="9"/>
      <c r="U27" s="78"/>
    </row>
    <row r="28" spans="1:21" s="49" customFormat="1" x14ac:dyDescent="0.15">
      <c r="A28" s="48"/>
      <c r="B28" s="48"/>
      <c r="C28" s="48"/>
      <c r="D28" s="20" t="s">
        <v>13</v>
      </c>
      <c r="E28" s="1">
        <v>27.7</v>
      </c>
      <c r="F28" s="1" t="s">
        <v>127</v>
      </c>
      <c r="G28" s="3">
        <v>7.7799999999999994E-2</v>
      </c>
      <c r="H28" s="4">
        <v>1.4580000000000001E-2</v>
      </c>
      <c r="I28" s="83">
        <v>21.666666666666668</v>
      </c>
      <c r="J28" s="1" t="s">
        <v>223</v>
      </c>
      <c r="K28" s="1">
        <f t="shared" si="3"/>
        <v>4.8916559217426249E-4</v>
      </c>
      <c r="L28" s="1">
        <f t="shared" si="2"/>
        <v>5.263537906137185E-4</v>
      </c>
      <c r="M28" s="1">
        <f t="shared" si="4"/>
        <v>2.5999277127085139E-2</v>
      </c>
      <c r="Q28" s="9"/>
      <c r="U28" s="78"/>
    </row>
    <row r="29" spans="1:21" s="49" customFormat="1" x14ac:dyDescent="0.15">
      <c r="A29" s="48"/>
      <c r="B29" s="48"/>
      <c r="C29" s="48"/>
      <c r="D29" s="20" t="s">
        <v>13</v>
      </c>
      <c r="E29" s="1">
        <v>27.7</v>
      </c>
      <c r="F29" s="1" t="s">
        <v>128</v>
      </c>
      <c r="G29" s="3">
        <f>AVERAGE(G26:G28)</f>
        <v>8.0433333333333343E-2</v>
      </c>
      <c r="H29" s="4">
        <f>SUM(H26:H28)</f>
        <v>5.9780000000000007E-2</v>
      </c>
      <c r="I29" s="83">
        <f>AVERAGE(I26:I28)</f>
        <v>15</v>
      </c>
      <c r="J29" s="1" t="s">
        <v>223</v>
      </c>
      <c r="K29" s="24">
        <f t="shared" si="3"/>
        <v>2.0845864944245671E-3</v>
      </c>
      <c r="L29" s="24">
        <f t="shared" si="2"/>
        <v>2.1581227436823108E-3</v>
      </c>
      <c r="M29" s="106">
        <f t="shared" si="4"/>
        <v>2.6879286935585455E-2</v>
      </c>
      <c r="Q29" s="9"/>
      <c r="U29" s="78"/>
    </row>
    <row r="30" spans="1:21" s="49" customFormat="1" x14ac:dyDescent="0.15">
      <c r="A30" s="48"/>
      <c r="B30" s="48"/>
      <c r="C30" s="48"/>
      <c r="D30" s="20" t="s">
        <v>14</v>
      </c>
      <c r="E30" s="42">
        <v>278</v>
      </c>
      <c r="F30" s="1" t="s">
        <v>125</v>
      </c>
      <c r="G30" s="40">
        <v>9.7500000000000003E-2</v>
      </c>
      <c r="H30" s="41">
        <v>4.4999999999999998E-2</v>
      </c>
      <c r="I30" s="82">
        <v>0</v>
      </c>
      <c r="J30" s="1" t="s">
        <v>223</v>
      </c>
      <c r="K30" s="1">
        <f t="shared" si="3"/>
        <v>1.618705035971223E-4</v>
      </c>
      <c r="L30" s="1">
        <f t="shared" si="2"/>
        <v>1.618705035971223E-4</v>
      </c>
      <c r="M30" s="1">
        <f t="shared" si="4"/>
        <v>1.5221933946415921E-2</v>
      </c>
      <c r="Q30" s="9"/>
      <c r="U30" s="78"/>
    </row>
    <row r="31" spans="1:21" s="2" customFormat="1" x14ac:dyDescent="0.15">
      <c r="A31" s="14"/>
      <c r="B31" s="15"/>
      <c r="C31" s="15"/>
      <c r="D31" s="20" t="s">
        <v>14</v>
      </c>
      <c r="E31" s="42">
        <v>278</v>
      </c>
      <c r="F31" s="1" t="s">
        <v>126</v>
      </c>
      <c r="G31" s="40">
        <v>4.6800000000000001E-2</v>
      </c>
      <c r="H31" s="41">
        <v>3.4000000000000002E-2</v>
      </c>
      <c r="I31" s="82">
        <v>16.25</v>
      </c>
      <c r="J31" s="1" t="s">
        <v>223</v>
      </c>
      <c r="K31" s="1">
        <f t="shared" si="3"/>
        <v>1.1741616924144454E-4</v>
      </c>
      <c r="L31" s="1">
        <f t="shared" si="2"/>
        <v>1.2230215827338129E-4</v>
      </c>
      <c r="M31" s="1">
        <f t="shared" si="4"/>
        <v>7.306528294279642E-3</v>
      </c>
      <c r="O31" s="49"/>
      <c r="P31" s="49"/>
      <c r="Q31" s="9"/>
      <c r="R31" s="49"/>
      <c r="S31" s="49"/>
      <c r="U31" s="18"/>
    </row>
    <row r="32" spans="1:21" s="2" customFormat="1" x14ac:dyDescent="0.15">
      <c r="A32" s="14"/>
      <c r="B32" s="15"/>
      <c r="C32" s="15"/>
      <c r="D32" s="20" t="s">
        <v>14</v>
      </c>
      <c r="E32" s="42">
        <v>278</v>
      </c>
      <c r="F32" s="1" t="s">
        <v>127</v>
      </c>
      <c r="G32" s="40">
        <v>6.4000000000000001E-2</v>
      </c>
      <c r="H32" s="41">
        <v>9.6000000000000002E-2</v>
      </c>
      <c r="I32" s="82">
        <v>25</v>
      </c>
      <c r="J32" s="1" t="s">
        <v>223</v>
      </c>
      <c r="K32" s="1">
        <f t="shared" si="3"/>
        <v>3.1296959552344747E-4</v>
      </c>
      <c r="L32" s="1">
        <f t="shared" si="2"/>
        <v>3.4532374100719427E-4</v>
      </c>
      <c r="M32" s="1">
        <f t="shared" si="4"/>
        <v>9.9918335648268609E-3</v>
      </c>
      <c r="O32" s="49"/>
      <c r="P32" s="49"/>
      <c r="Q32" s="9"/>
      <c r="R32" s="49"/>
      <c r="S32" s="49"/>
      <c r="U32" s="18"/>
    </row>
    <row r="33" spans="1:21" s="2" customFormat="1" x14ac:dyDescent="0.15">
      <c r="D33" s="20" t="s">
        <v>14</v>
      </c>
      <c r="E33" s="42">
        <v>278</v>
      </c>
      <c r="F33" s="1" t="s">
        <v>128</v>
      </c>
      <c r="G33" s="3">
        <f>AVERAGE(G30:G32)</f>
        <v>6.9433333333333333E-2</v>
      </c>
      <c r="H33" s="4">
        <f>SUM(H30:H32)</f>
        <v>0.17499999999999999</v>
      </c>
      <c r="I33" s="83">
        <f>AVERAGE(I30:I32)</f>
        <v>13.75</v>
      </c>
      <c r="J33" s="1" t="s">
        <v>223</v>
      </c>
      <c r="K33" s="24">
        <f t="shared" si="3"/>
        <v>6.114563389112256E-4</v>
      </c>
      <c r="L33" s="24">
        <f t="shared" si="2"/>
        <v>6.2949640287769779E-4</v>
      </c>
      <c r="M33" s="106">
        <f t="shared" si="4"/>
        <v>1.0840098601840807E-2</v>
      </c>
      <c r="O33" s="49"/>
      <c r="P33" s="49"/>
      <c r="Q33" s="9"/>
      <c r="R33" s="49"/>
      <c r="S33" s="49"/>
      <c r="U33" s="18"/>
    </row>
    <row r="34" spans="1:21" s="49" customFormat="1" x14ac:dyDescent="0.15">
      <c r="A34" s="48"/>
      <c r="B34" s="48"/>
      <c r="C34" s="48"/>
      <c r="D34" s="26" t="s">
        <v>15</v>
      </c>
      <c r="E34" s="42">
        <v>7.7</v>
      </c>
      <c r="F34" s="1" t="s">
        <v>125</v>
      </c>
      <c r="G34" s="3">
        <v>0.05</v>
      </c>
      <c r="H34" s="4">
        <v>6.7419999999999997E-3</v>
      </c>
      <c r="I34" s="83">
        <v>0</v>
      </c>
      <c r="J34" s="1" t="s">
        <v>223</v>
      </c>
      <c r="K34" s="1">
        <f t="shared" si="3"/>
        <v>8.7558441558441551E-4</v>
      </c>
      <c r="L34" s="1">
        <f t="shared" si="2"/>
        <v>8.7558441558441551E-4</v>
      </c>
      <c r="M34" s="1">
        <f t="shared" si="4"/>
        <v>2.5493417890511814E-2</v>
      </c>
      <c r="Q34" s="9"/>
      <c r="U34" s="78"/>
    </row>
    <row r="35" spans="1:21" s="49" customFormat="1" x14ac:dyDescent="0.15">
      <c r="A35" s="48"/>
      <c r="B35" s="48"/>
      <c r="C35" s="48"/>
      <c r="D35" s="26" t="s">
        <v>15</v>
      </c>
      <c r="E35" s="42">
        <v>7.7</v>
      </c>
      <c r="F35" s="1" t="s">
        <v>126</v>
      </c>
      <c r="G35" s="3">
        <v>4.9500000000000002E-2</v>
      </c>
      <c r="H35" s="4">
        <v>6.1640000000000002E-3</v>
      </c>
      <c r="I35" s="83">
        <v>0</v>
      </c>
      <c r="J35" s="1" t="s">
        <v>223</v>
      </c>
      <c r="K35" s="1">
        <f t="shared" si="3"/>
        <v>8.0051948051948051E-4</v>
      </c>
      <c r="L35" s="1">
        <f t="shared" si="2"/>
        <v>8.0051948051948051E-4</v>
      </c>
      <c r="M35" s="1">
        <f t="shared" si="4"/>
        <v>2.5238483711606696E-2</v>
      </c>
      <c r="R35" s="22"/>
      <c r="U35" s="78"/>
    </row>
    <row r="36" spans="1:21" s="49" customFormat="1" x14ac:dyDescent="0.15">
      <c r="A36" s="48"/>
      <c r="B36" s="48"/>
      <c r="C36" s="48"/>
      <c r="D36" s="26" t="s">
        <v>15</v>
      </c>
      <c r="E36" s="42">
        <v>7.7</v>
      </c>
      <c r="F36" s="1" t="s">
        <v>127</v>
      </c>
      <c r="G36" s="3">
        <v>3.7249999999999998E-2</v>
      </c>
      <c r="H36" s="4">
        <v>4.9829999999999996E-3</v>
      </c>
      <c r="I36" s="83">
        <v>26.666666666666668</v>
      </c>
      <c r="J36" s="1" t="s">
        <v>223</v>
      </c>
      <c r="K36" s="1">
        <f t="shared" si="3"/>
        <v>5.7830798009500821E-4</v>
      </c>
      <c r="L36" s="1">
        <f t="shared" si="2"/>
        <v>6.4714285714285709E-4</v>
      </c>
      <c r="M36" s="1">
        <f t="shared" si="4"/>
        <v>1.89925963284313E-2</v>
      </c>
      <c r="R36" s="22"/>
      <c r="U36" s="78"/>
    </row>
    <row r="37" spans="1:21" s="49" customFormat="1" x14ac:dyDescent="0.15">
      <c r="A37" s="48"/>
      <c r="B37" s="48"/>
      <c r="C37" s="48"/>
      <c r="D37" s="26" t="s">
        <v>15</v>
      </c>
      <c r="E37" s="42">
        <v>7.7</v>
      </c>
      <c r="F37" s="1" t="s">
        <v>128</v>
      </c>
      <c r="G37" s="3">
        <f>AVERAGE(G34:G36)</f>
        <v>4.5583333333333337E-2</v>
      </c>
      <c r="H37" s="4">
        <f>SUM(H34:H36)</f>
        <v>1.7889000000000002E-2</v>
      </c>
      <c r="I37" s="83">
        <f>AVERAGE(I34:I36)</f>
        <v>8.8888888888888893</v>
      </c>
      <c r="J37" s="1" t="s">
        <v>223</v>
      </c>
      <c r="K37" s="24">
        <f t="shared" si="3"/>
        <v>2.2953442100377454E-3</v>
      </c>
      <c r="L37" s="24">
        <f t="shared" si="2"/>
        <v>2.3232467532467533E-3</v>
      </c>
      <c r="M37" s="106">
        <f t="shared" si="4"/>
        <v>2.3241499310183274E-2</v>
      </c>
      <c r="R37" s="22"/>
      <c r="U37" s="78"/>
    </row>
    <row r="38" spans="1:21" s="49" customFormat="1" x14ac:dyDescent="0.15">
      <c r="A38" s="48"/>
      <c r="B38" s="48"/>
      <c r="C38" s="48"/>
      <c r="D38" s="20" t="s">
        <v>14</v>
      </c>
      <c r="E38" s="1">
        <v>3.7</v>
      </c>
      <c r="F38" s="1" t="s">
        <v>125</v>
      </c>
      <c r="G38" s="40">
        <v>4.8637E-2</v>
      </c>
      <c r="H38" s="41">
        <v>4.0672E-3</v>
      </c>
      <c r="I38" s="82">
        <v>6.3333329999999997</v>
      </c>
      <c r="J38" s="1" t="s">
        <v>222</v>
      </c>
      <c r="K38" s="1">
        <f t="shared" si="3"/>
        <v>1.0925345035317168E-3</v>
      </c>
      <c r="L38" s="1">
        <f t="shared" si="2"/>
        <v>1.0992432432432432E-3</v>
      </c>
      <c r="M38" s="1">
        <f t="shared" si="4"/>
        <v>3.1583496693658508E-2</v>
      </c>
      <c r="R38" s="22"/>
      <c r="U38" s="78"/>
    </row>
    <row r="39" spans="1:21" s="2" customFormat="1" x14ac:dyDescent="0.15">
      <c r="A39" s="14"/>
      <c r="B39" s="15"/>
      <c r="C39" s="15"/>
      <c r="D39" s="20" t="s">
        <v>14</v>
      </c>
      <c r="E39" s="1">
        <v>3.7</v>
      </c>
      <c r="F39" s="1" t="s">
        <v>126</v>
      </c>
      <c r="G39" s="40">
        <v>5.1684999999999995E-2</v>
      </c>
      <c r="H39" s="41">
        <v>3.2123999999999998E-3</v>
      </c>
      <c r="I39" s="82">
        <v>10</v>
      </c>
      <c r="J39" s="1" t="s">
        <v>222</v>
      </c>
      <c r="K39" s="1">
        <f t="shared" si="3"/>
        <v>8.5502606102065321E-4</v>
      </c>
      <c r="L39" s="1">
        <f t="shared" si="2"/>
        <v>8.6821621621621615E-4</v>
      </c>
      <c r="M39" s="1">
        <f t="shared" si="4"/>
        <v>3.3562781968701605E-2</v>
      </c>
      <c r="O39" s="49"/>
      <c r="P39" s="49"/>
      <c r="Q39" s="49"/>
      <c r="R39" s="22"/>
      <c r="S39" s="49"/>
      <c r="U39" s="18"/>
    </row>
    <row r="40" spans="1:21" s="2" customFormat="1" x14ac:dyDescent="0.15">
      <c r="A40" s="14"/>
      <c r="B40" s="15"/>
      <c r="C40" s="15"/>
      <c r="D40" s="20" t="s">
        <v>14</v>
      </c>
      <c r="E40" s="1">
        <v>3.7</v>
      </c>
      <c r="F40" s="1" t="s">
        <v>127</v>
      </c>
      <c r="G40" s="40">
        <v>4.3910000000000005E-2</v>
      </c>
      <c r="H40" s="41">
        <v>2.2506000000000002E-3</v>
      </c>
      <c r="I40" s="82">
        <v>12.666666666666666</v>
      </c>
      <c r="J40" s="1" t="s">
        <v>222</v>
      </c>
      <c r="K40" s="1">
        <f t="shared" si="3"/>
        <v>5.934663588601603E-4</v>
      </c>
      <c r="L40" s="1">
        <f t="shared" si="2"/>
        <v>6.082702702702703E-4</v>
      </c>
      <c r="M40" s="1">
        <f t="shared" si="4"/>
        <v>2.8513916150637277E-2</v>
      </c>
      <c r="O40" s="49"/>
      <c r="P40" s="49"/>
      <c r="Q40" s="49"/>
      <c r="R40" s="22"/>
      <c r="S40" s="49"/>
      <c r="U40" s="18"/>
    </row>
    <row r="41" spans="1:21" s="2" customFormat="1" x14ac:dyDescent="0.15">
      <c r="D41" s="20" t="s">
        <v>14</v>
      </c>
      <c r="E41" s="1">
        <v>3.7</v>
      </c>
      <c r="F41" s="1" t="s">
        <v>128</v>
      </c>
      <c r="G41" s="3">
        <f>AVERAGE(G38:G40)</f>
        <v>4.8077333333333333E-2</v>
      </c>
      <c r="H41" s="4">
        <f>SUM(H38:H40)</f>
        <v>9.5301999999999991E-3</v>
      </c>
      <c r="I41" s="83">
        <f>AVERAGE(I38:I40)</f>
        <v>9.6666665555555564</v>
      </c>
      <c r="J41" s="1" t="s">
        <v>222</v>
      </c>
      <c r="K41" s="105">
        <f t="shared" si="3"/>
        <v>2.5391577823260375E-3</v>
      </c>
      <c r="L41" s="105">
        <f t="shared" si="2"/>
        <v>2.5757297297297295E-3</v>
      </c>
      <c r="M41" s="106">
        <f t="shared" si="4"/>
        <v>3.1220064937665798E-2</v>
      </c>
      <c r="O41" s="49"/>
      <c r="P41" s="49"/>
      <c r="Q41" s="49"/>
      <c r="R41" s="22"/>
      <c r="S41" s="49"/>
      <c r="U41" s="18"/>
    </row>
    <row r="42" spans="1:21" s="2" customFormat="1" x14ac:dyDescent="0.15">
      <c r="D42" s="20" t="s">
        <v>23</v>
      </c>
      <c r="E42" s="1">
        <v>0.435</v>
      </c>
      <c r="F42" s="1" t="s">
        <v>132</v>
      </c>
      <c r="G42" s="3">
        <f>3.516*E42^(0.33)/100</f>
        <v>2.6714701210489068E-2</v>
      </c>
      <c r="H42" s="4">
        <f>0.449*E42/100</f>
        <v>1.9531500000000003E-3</v>
      </c>
      <c r="I42" s="83">
        <v>4.6669999999999998</v>
      </c>
      <c r="J42" s="28" t="s">
        <v>20</v>
      </c>
      <c r="K42" s="21">
        <f t="shared" si="3"/>
        <v>4.4751130220122334E-3</v>
      </c>
      <c r="L42" s="21">
        <f t="shared" si="2"/>
        <v>4.4900000000000009E-3</v>
      </c>
      <c r="M42" s="1">
        <f t="shared" si="4"/>
        <v>3.5160000000000004E-2</v>
      </c>
      <c r="N42" s="1">
        <f t="shared" ref="N42:N47" si="5">K42/2</f>
        <v>2.2375565110061167E-3</v>
      </c>
      <c r="U42" s="18"/>
    </row>
    <row r="43" spans="1:21" s="2" customFormat="1" x14ac:dyDescent="0.15">
      <c r="D43" s="20" t="s">
        <v>24</v>
      </c>
      <c r="E43" s="1">
        <v>36.667000000000002</v>
      </c>
      <c r="F43" s="1" t="s">
        <v>132</v>
      </c>
      <c r="G43" s="3">
        <f>3.212*E43^(0.33)/100</f>
        <v>0.10543539066059102</v>
      </c>
      <c r="H43" s="4">
        <f>0.487*E43/100</f>
        <v>0.17856829000000002</v>
      </c>
      <c r="I43" s="83">
        <v>2.444</v>
      </c>
      <c r="J43" s="28" t="s">
        <v>20</v>
      </c>
      <c r="K43" s="21">
        <f t="shared" si="3"/>
        <v>4.8655701374389522E-3</v>
      </c>
      <c r="L43" s="21">
        <f t="shared" si="2"/>
        <v>4.8700000000000002E-3</v>
      </c>
      <c r="M43" s="1">
        <f t="shared" si="4"/>
        <v>3.2119999999999996E-2</v>
      </c>
      <c r="N43" s="1">
        <f t="shared" si="5"/>
        <v>2.4327850687194761E-3</v>
      </c>
      <c r="U43" s="18"/>
    </row>
    <row r="44" spans="1:21" s="2" customFormat="1" x14ac:dyDescent="0.15">
      <c r="D44" s="20" t="s">
        <v>25</v>
      </c>
      <c r="E44" s="1">
        <v>1.609</v>
      </c>
      <c r="F44" s="1" t="s">
        <v>132</v>
      </c>
      <c r="G44" s="3">
        <f>3.526*E44^(0.33)/100</f>
        <v>4.1252075365793173E-2</v>
      </c>
      <c r="H44" s="4">
        <f>0.391*E44/100</f>
        <v>6.2911899999999995E-3</v>
      </c>
      <c r="I44" s="83">
        <v>2.278</v>
      </c>
      <c r="J44" s="28" t="s">
        <v>20</v>
      </c>
      <c r="K44" s="21">
        <f t="shared" si="3"/>
        <v>3.9069100480463937E-3</v>
      </c>
      <c r="L44" s="21">
        <f t="shared" si="2"/>
        <v>3.9099999999999994E-3</v>
      </c>
      <c r="M44" s="1">
        <f t="shared" si="4"/>
        <v>3.5259999999999993E-2</v>
      </c>
      <c r="N44" s="1">
        <f t="shared" si="5"/>
        <v>1.9534550240231968E-3</v>
      </c>
      <c r="U44" s="18"/>
    </row>
    <row r="45" spans="1:21" s="2" customFormat="1" x14ac:dyDescent="0.15">
      <c r="D45" s="20" t="s">
        <v>26</v>
      </c>
      <c r="E45" s="1">
        <v>0.158</v>
      </c>
      <c r="F45" s="1" t="s">
        <v>132</v>
      </c>
      <c r="G45" s="3">
        <f>2.702*E45^(0.33)/100</f>
        <v>1.4697456496531036E-2</v>
      </c>
      <c r="H45" s="4">
        <f>0.331*E45/100</f>
        <v>5.2298000000000004E-4</v>
      </c>
      <c r="I45" s="83">
        <v>2.6669999999999998</v>
      </c>
      <c r="J45" s="28" t="s">
        <v>20</v>
      </c>
      <c r="K45" s="21">
        <f t="shared" si="3"/>
        <v>3.3064147425459567E-3</v>
      </c>
      <c r="L45" s="21">
        <f t="shared" si="2"/>
        <v>3.31E-3</v>
      </c>
      <c r="M45" s="1">
        <f t="shared" si="4"/>
        <v>2.7020000000000002E-2</v>
      </c>
      <c r="N45" s="1">
        <f t="shared" si="5"/>
        <v>1.6532073712729784E-3</v>
      </c>
      <c r="U45" s="18"/>
    </row>
    <row r="46" spans="1:21" s="2" customFormat="1" x14ac:dyDescent="0.15">
      <c r="D46" s="20" t="s">
        <v>27</v>
      </c>
      <c r="E46" s="1">
        <v>0.158</v>
      </c>
      <c r="F46" s="1" t="s">
        <v>132</v>
      </c>
      <c r="G46" s="3">
        <f>2.945*E46^(0.33)/100</f>
        <v>1.6019248476048815E-2</v>
      </c>
      <c r="H46" s="4">
        <f>0.522*E46/100</f>
        <v>8.2476000000000012E-4</v>
      </c>
      <c r="I46" s="83">
        <v>2.8889999999999998</v>
      </c>
      <c r="J46" s="28" t="s">
        <v>20</v>
      </c>
      <c r="K46" s="21">
        <f t="shared" si="3"/>
        <v>5.2133656510515419E-3</v>
      </c>
      <c r="L46" s="21">
        <f t="shared" si="2"/>
        <v>5.2200000000000007E-3</v>
      </c>
      <c r="M46" s="1">
        <f t="shared" si="4"/>
        <v>2.9449999999999997E-2</v>
      </c>
      <c r="N46" s="1">
        <f t="shared" si="5"/>
        <v>2.6066828255257709E-3</v>
      </c>
      <c r="U46" s="18"/>
    </row>
    <row r="47" spans="1:21" s="2" customFormat="1" x14ac:dyDescent="0.15">
      <c r="D47" s="20" t="s">
        <v>28</v>
      </c>
      <c r="E47" s="1">
        <v>2.6230000000000002</v>
      </c>
      <c r="F47" s="1" t="s">
        <v>132</v>
      </c>
      <c r="G47" s="3">
        <f>2.978*E47^(0.33)/100</f>
        <v>4.0938142115960384E-2</v>
      </c>
      <c r="H47" s="4">
        <f>0.314*E47/100</f>
        <v>8.2362200000000007E-3</v>
      </c>
      <c r="I47" s="83">
        <v>0.83299999999999996</v>
      </c>
      <c r="J47" s="28" t="s">
        <v>20</v>
      </c>
      <c r="K47" s="21">
        <f t="shared" si="3"/>
        <v>3.1396681538827E-3</v>
      </c>
      <c r="L47" s="21">
        <f t="shared" si="2"/>
        <v>3.14E-3</v>
      </c>
      <c r="M47" s="1">
        <f t="shared" si="4"/>
        <v>2.9780000000000004E-2</v>
      </c>
      <c r="N47" s="1">
        <f t="shared" si="5"/>
        <v>1.56983407694135E-3</v>
      </c>
      <c r="U47" s="18"/>
    </row>
    <row r="48" spans="1:21" s="2" customFormat="1" x14ac:dyDescent="0.15">
      <c r="D48" s="20" t="s">
        <v>41</v>
      </c>
      <c r="E48" s="21">
        <v>9.7070000000000004E-2</v>
      </c>
      <c r="F48" s="22" t="s">
        <v>131</v>
      </c>
      <c r="G48" s="3">
        <v>6.2500000000000003E-3</v>
      </c>
      <c r="H48" s="4">
        <v>1.8029999999999999E-4</v>
      </c>
      <c r="I48" s="83">
        <v>0</v>
      </c>
      <c r="J48" s="28" t="s">
        <v>43</v>
      </c>
      <c r="K48" s="21">
        <f t="shared" si="3"/>
        <v>1.8574224786236735E-3</v>
      </c>
      <c r="L48" s="21">
        <f t="shared" si="2"/>
        <v>1.8574224786236735E-3</v>
      </c>
      <c r="M48" s="1">
        <f t="shared" si="4"/>
        <v>1.3494038893248433E-2</v>
      </c>
      <c r="O48" s="1"/>
      <c r="P48" s="1"/>
      <c r="Q48" s="1"/>
      <c r="U48" s="18"/>
    </row>
    <row r="49" spans="1:21" s="2" customFormat="1" x14ac:dyDescent="0.15">
      <c r="D49" s="20" t="s">
        <v>41</v>
      </c>
      <c r="E49" s="21">
        <v>0.10265000000000001</v>
      </c>
      <c r="F49" s="22" t="s">
        <v>131</v>
      </c>
      <c r="G49" s="3">
        <v>9.1900000000000003E-3</v>
      </c>
      <c r="H49" s="4">
        <v>2.7280000000000002E-4</v>
      </c>
      <c r="I49" s="83">
        <v>0</v>
      </c>
      <c r="J49" s="28" t="s">
        <v>43</v>
      </c>
      <c r="K49" s="21">
        <f t="shared" si="3"/>
        <v>2.657574281539211E-3</v>
      </c>
      <c r="L49" s="21">
        <f t="shared" si="2"/>
        <v>2.657574281539211E-3</v>
      </c>
      <c r="M49" s="1">
        <f t="shared" si="4"/>
        <v>1.947901789914076E-2</v>
      </c>
      <c r="U49" s="18"/>
    </row>
    <row r="50" spans="1:21" s="2" customFormat="1" x14ac:dyDescent="0.15">
      <c r="D50" s="20" t="s">
        <v>42</v>
      </c>
      <c r="E50" s="21">
        <v>5.7000000000000002E-2</v>
      </c>
      <c r="F50" s="22" t="s">
        <v>131</v>
      </c>
      <c r="G50" s="3">
        <v>4.3870000000000003E-3</v>
      </c>
      <c r="H50" s="4">
        <v>5.52E-5</v>
      </c>
      <c r="I50" s="83">
        <v>0</v>
      </c>
      <c r="J50" s="28" t="s">
        <v>43</v>
      </c>
      <c r="K50" s="21">
        <f t="shared" si="3"/>
        <v>9.6842105263157891E-4</v>
      </c>
      <c r="L50" s="21">
        <f t="shared" si="2"/>
        <v>9.6842105263157891E-4</v>
      </c>
      <c r="M50" s="1">
        <f t="shared" si="4"/>
        <v>1.1290909645990213E-2</v>
      </c>
      <c r="U50" s="18"/>
    </row>
    <row r="51" spans="1:21" s="2" customFormat="1" x14ac:dyDescent="0.15">
      <c r="D51" s="20" t="s">
        <v>42</v>
      </c>
      <c r="E51" s="21">
        <v>5.1700000000000003E-2</v>
      </c>
      <c r="F51" s="22" t="s">
        <v>131</v>
      </c>
      <c r="G51" s="3">
        <v>5.6860000000000001E-3</v>
      </c>
      <c r="H51" s="4">
        <v>6.7999999999999999E-5</v>
      </c>
      <c r="I51" s="83">
        <v>0</v>
      </c>
      <c r="J51" s="28" t="s">
        <v>43</v>
      </c>
      <c r="K51" s="21">
        <f t="shared" si="3"/>
        <v>1.3152804642166344E-3</v>
      </c>
      <c r="L51" s="21">
        <f t="shared" si="2"/>
        <v>1.3152804642166344E-3</v>
      </c>
      <c r="M51" s="1">
        <f t="shared" si="4"/>
        <v>1.5113149420025377E-2</v>
      </c>
      <c r="U51" s="18"/>
    </row>
    <row r="52" spans="1:21" s="2" customFormat="1" x14ac:dyDescent="0.15">
      <c r="A52" s="10"/>
      <c r="B52" s="48"/>
      <c r="D52" s="18" t="s">
        <v>111</v>
      </c>
      <c r="E52" s="21">
        <v>0.89984193999999995</v>
      </c>
      <c r="F52" s="22" t="s">
        <v>125</v>
      </c>
      <c r="G52" s="21"/>
      <c r="H52" s="29">
        <v>6.3329682753799992E-4</v>
      </c>
      <c r="I52" s="85">
        <f>AVERAGE(I23:I51)</f>
        <v>7.0689731647509575</v>
      </c>
      <c r="J52" s="21" t="s">
        <v>206</v>
      </c>
      <c r="K52" s="29">
        <f t="shared" si="3"/>
        <v>6.9843706580793299E-4</v>
      </c>
      <c r="L52" s="29">
        <f t="shared" si="2"/>
        <v>7.0378674230054219E-4</v>
      </c>
      <c r="M52" s="22"/>
      <c r="N52" s="21">
        <f>1/H$55*H52</f>
        <v>0.20067808240643592</v>
      </c>
      <c r="U52" s="18"/>
    </row>
    <row r="53" spans="1:21" s="2" customFormat="1" x14ac:dyDescent="0.15">
      <c r="A53" s="10"/>
      <c r="B53" s="48"/>
      <c r="D53" s="68" t="s">
        <v>111</v>
      </c>
      <c r="E53" s="51">
        <v>0.89984193999999995</v>
      </c>
      <c r="F53" s="51" t="s">
        <v>126</v>
      </c>
      <c r="G53" s="51"/>
      <c r="H53" s="96">
        <v>1.66277197966E-3</v>
      </c>
      <c r="I53" s="97">
        <f>AVERAGE(I23:I51)</f>
        <v>7.0689731647509575</v>
      </c>
      <c r="J53" s="21" t="s">
        <v>206</v>
      </c>
      <c r="K53" s="72">
        <f t="shared" si="3"/>
        <v>1.8338029373938306E-3</v>
      </c>
      <c r="L53" s="72">
        <f t="shared" si="2"/>
        <v>1.8478489451825284E-3</v>
      </c>
      <c r="M53" s="22"/>
      <c r="N53" s="21">
        <f>1/H$55*H53</f>
        <v>0.52689651652692049</v>
      </c>
      <c r="U53" s="18"/>
    </row>
    <row r="54" spans="1:21" s="2" customFormat="1" x14ac:dyDescent="0.15">
      <c r="A54" s="10"/>
      <c r="B54" s="48"/>
      <c r="D54" s="68" t="s">
        <v>111</v>
      </c>
      <c r="E54" s="51">
        <v>0.89984193999999995</v>
      </c>
      <c r="F54" s="51" t="s">
        <v>127</v>
      </c>
      <c r="G54" s="51"/>
      <c r="H54" s="96">
        <v>8.5971591998200013E-4</v>
      </c>
      <c r="I54" s="97">
        <f>AVERAGE(I23:I51)</f>
        <v>7.0689731647509575</v>
      </c>
      <c r="J54" s="21" t="s">
        <v>206</v>
      </c>
      <c r="K54" s="72">
        <f t="shared" si="3"/>
        <v>9.4814538533996736E-4</v>
      </c>
      <c r="L54" s="72">
        <f t="shared" si="2"/>
        <v>9.5540770191484983E-4</v>
      </c>
      <c r="M54" s="22"/>
      <c r="N54" s="21">
        <f>1/H$55*H54</f>
        <v>0.27242540106664365</v>
      </c>
      <c r="U54" s="18"/>
    </row>
    <row r="55" spans="1:21" s="2" customFormat="1" x14ac:dyDescent="0.15">
      <c r="D55" s="68" t="s">
        <v>111</v>
      </c>
      <c r="E55" s="51">
        <v>0.89984193999999995</v>
      </c>
      <c r="F55" s="51" t="s">
        <v>128</v>
      </c>
      <c r="G55" s="51"/>
      <c r="H55" s="96">
        <f>SUM(H52:H54)</f>
        <v>3.1557847271800003E-3</v>
      </c>
      <c r="I55" s="97">
        <f>AVERAGE(I23:I51)</f>
        <v>7.0689731647509575</v>
      </c>
      <c r="J55" s="21" t="s">
        <v>206</v>
      </c>
      <c r="K55" s="72">
        <f t="shared" si="3"/>
        <v>3.4803853885417308E-3</v>
      </c>
      <c r="L55" s="72">
        <f t="shared" si="2"/>
        <v>3.5070433893979206E-3</v>
      </c>
      <c r="M55" s="22"/>
      <c r="N55" s="98">
        <f>SUM(N52:N54)</f>
        <v>1</v>
      </c>
      <c r="U55" s="18"/>
    </row>
    <row r="56" spans="1:21" s="2" customFormat="1" x14ac:dyDescent="0.15">
      <c r="D56" s="18"/>
      <c r="E56" s="14"/>
      <c r="F56" s="22"/>
      <c r="G56" s="14"/>
      <c r="H56" s="14"/>
      <c r="I56" s="87"/>
      <c r="J56" s="14"/>
      <c r="K56" s="15"/>
      <c r="L56" s="15"/>
      <c r="M56" s="15"/>
      <c r="U56" s="18"/>
    </row>
    <row r="57" spans="1:21" s="2" customFormat="1" x14ac:dyDescent="0.15">
      <c r="D57" s="18"/>
      <c r="E57" s="14"/>
      <c r="F57" s="22"/>
      <c r="G57" s="14"/>
      <c r="H57" s="14"/>
      <c r="I57" s="87"/>
      <c r="J57" s="14"/>
      <c r="K57" s="15"/>
      <c r="L57" s="15"/>
      <c r="M57" s="15"/>
      <c r="U57" s="18"/>
    </row>
    <row r="58" spans="1:21" s="2" customFormat="1" x14ac:dyDescent="0.15">
      <c r="A58" s="47" t="s">
        <v>133</v>
      </c>
      <c r="B58" s="48" t="s">
        <v>59</v>
      </c>
      <c r="C58" s="48" t="s">
        <v>58</v>
      </c>
      <c r="D58" s="20" t="s">
        <v>8</v>
      </c>
      <c r="E58" s="1">
        <v>17.100000000000001</v>
      </c>
      <c r="F58" s="36" t="s">
        <v>134</v>
      </c>
      <c r="G58" s="40">
        <v>7.0833333333333331E-2</v>
      </c>
      <c r="H58" s="41">
        <v>2.1590000000000002E-2</v>
      </c>
      <c r="I58" s="82">
        <v>0</v>
      </c>
      <c r="J58" s="1" t="s">
        <v>223</v>
      </c>
      <c r="K58" s="36">
        <f t="shared" ref="K58:K63" si="6">H58*COS(RADIANS(I58))/E58</f>
        <v>1.2625730994152047E-3</v>
      </c>
      <c r="L58" s="36">
        <f t="shared" si="2"/>
        <v>1.2625730994152047E-3</v>
      </c>
      <c r="M58" s="36">
        <f t="shared" ref="M58:M86" si="7">G58/(E58^0.33)</f>
        <v>2.7755494115461181E-2</v>
      </c>
      <c r="N58" s="36">
        <v>1.2625730994152047E-3</v>
      </c>
      <c r="U58" s="18"/>
    </row>
    <row r="59" spans="1:21" s="2" customFormat="1" x14ac:dyDescent="0.15">
      <c r="A59" s="48"/>
      <c r="B59" s="48"/>
      <c r="C59" s="48"/>
      <c r="D59" s="20" t="s">
        <v>8</v>
      </c>
      <c r="E59" s="1">
        <v>17.100000000000001</v>
      </c>
      <c r="F59" s="37" t="s">
        <v>135</v>
      </c>
      <c r="G59" s="40">
        <v>0.1047</v>
      </c>
      <c r="H59" s="41">
        <v>9.3380000000000005E-2</v>
      </c>
      <c r="I59" s="82">
        <v>0</v>
      </c>
      <c r="J59" s="1" t="s">
        <v>223</v>
      </c>
      <c r="K59" s="37">
        <f t="shared" si="6"/>
        <v>5.460818713450292E-3</v>
      </c>
      <c r="L59" s="37">
        <f t="shared" si="2"/>
        <v>5.460818713450292E-3</v>
      </c>
      <c r="M59" s="37">
        <f t="shared" si="7"/>
        <v>4.1025885654900507E-2</v>
      </c>
      <c r="N59" s="36">
        <v>1.301111111111111E-3</v>
      </c>
      <c r="U59" s="18"/>
    </row>
    <row r="60" spans="1:21" s="2" customFormat="1" x14ac:dyDescent="0.15">
      <c r="A60" s="48"/>
      <c r="B60" s="48"/>
      <c r="C60" s="48"/>
      <c r="D60" s="20" t="s">
        <v>8</v>
      </c>
      <c r="E60" s="1">
        <v>17.100000000000001</v>
      </c>
      <c r="F60" s="1" t="s">
        <v>136</v>
      </c>
      <c r="G60" s="3">
        <f>AVERAGE(G58:G59)</f>
        <v>8.776666666666666E-2</v>
      </c>
      <c r="H60" s="4">
        <f>SUM(H58:H59)</f>
        <v>0.11497</v>
      </c>
      <c r="I60" s="83">
        <f>AVERAGE(I58:I59)</f>
        <v>0</v>
      </c>
      <c r="J60" s="1" t="s">
        <v>223</v>
      </c>
      <c r="K60" s="22">
        <f t="shared" si="6"/>
        <v>6.7233918128654967E-3</v>
      </c>
      <c r="L60" s="22">
        <f t="shared" si="2"/>
        <v>6.7233918128654967E-3</v>
      </c>
      <c r="M60" s="22">
        <f t="shared" si="7"/>
        <v>3.439068988518084E-2</v>
      </c>
      <c r="N60" s="36">
        <v>9.8563645368994544E-4</v>
      </c>
      <c r="U60" s="18"/>
    </row>
    <row r="61" spans="1:21" s="2" customFormat="1" x14ac:dyDescent="0.15">
      <c r="A61" s="48"/>
      <c r="B61" s="48"/>
      <c r="C61" s="48"/>
      <c r="D61" s="20" t="s">
        <v>11</v>
      </c>
      <c r="E61" s="1">
        <v>90</v>
      </c>
      <c r="F61" s="36" t="s">
        <v>134</v>
      </c>
      <c r="G61" s="40">
        <v>0.11866666666666667</v>
      </c>
      <c r="H61" s="41">
        <v>0.1171</v>
      </c>
      <c r="I61" s="82">
        <v>0</v>
      </c>
      <c r="J61" s="1" t="s">
        <v>223</v>
      </c>
      <c r="K61" s="36">
        <f t="shared" si="6"/>
        <v>1.301111111111111E-3</v>
      </c>
      <c r="L61" s="36">
        <f t="shared" si="2"/>
        <v>1.301111111111111E-3</v>
      </c>
      <c r="M61" s="36">
        <f t="shared" si="7"/>
        <v>2.6879966005422681E-2</v>
      </c>
      <c r="N61" s="36">
        <v>7.5527075812274367E-4</v>
      </c>
      <c r="U61" s="18"/>
    </row>
    <row r="62" spans="1:21" s="2" customFormat="1" x14ac:dyDescent="0.15">
      <c r="A62" s="48"/>
      <c r="B62" s="48"/>
      <c r="C62" s="48"/>
      <c r="D62" s="20" t="s">
        <v>11</v>
      </c>
      <c r="E62" s="1">
        <v>90</v>
      </c>
      <c r="F62" s="37" t="s">
        <v>135</v>
      </c>
      <c r="G62" s="3">
        <v>0.146125</v>
      </c>
      <c r="H62" s="4">
        <v>0.32700000000000001</v>
      </c>
      <c r="I62" s="83">
        <v>2.5</v>
      </c>
      <c r="J62" s="1" t="s">
        <v>223</v>
      </c>
      <c r="K62" s="37">
        <f t="shared" si="6"/>
        <v>3.6298752050807504E-3</v>
      </c>
      <c r="L62" s="37">
        <f t="shared" si="2"/>
        <v>3.6333333333333335E-3</v>
      </c>
      <c r="M62" s="37">
        <f t="shared" si="7"/>
        <v>3.3099733420301036E-2</v>
      </c>
      <c r="N62" s="36">
        <v>6.5323741007194253E-4</v>
      </c>
      <c r="U62" s="18"/>
    </row>
    <row r="63" spans="1:21" s="2" customFormat="1" x14ac:dyDescent="0.15">
      <c r="A63" s="48"/>
      <c r="B63" s="48"/>
      <c r="C63" s="48"/>
      <c r="D63" s="20" t="s">
        <v>11</v>
      </c>
      <c r="E63" s="1">
        <v>90</v>
      </c>
      <c r="F63" s="1" t="s">
        <v>136</v>
      </c>
      <c r="G63" s="3">
        <f>AVERAGE(G61:G62)</f>
        <v>0.13239583333333332</v>
      </c>
      <c r="H63" s="4">
        <f>SUM(H61:H62)</f>
        <v>0.44409999999999999</v>
      </c>
      <c r="I63" s="83">
        <f>AVERAGE(I61:I62)</f>
        <v>1.25</v>
      </c>
      <c r="J63" s="1" t="s">
        <v>223</v>
      </c>
      <c r="K63" s="22">
        <f t="shared" si="6"/>
        <v>4.933270180290974E-3</v>
      </c>
      <c r="L63" s="22">
        <f t="shared" si="2"/>
        <v>4.9344444444444444E-3</v>
      </c>
      <c r="M63" s="22">
        <f t="shared" si="7"/>
        <v>2.9989849712861855E-2</v>
      </c>
      <c r="N63" s="36">
        <v>8.3051948051948048E-4</v>
      </c>
      <c r="U63" s="18"/>
    </row>
    <row r="64" spans="1:21" s="2" customFormat="1" x14ac:dyDescent="0.15">
      <c r="A64" s="48"/>
      <c r="B64" s="48"/>
      <c r="C64" s="48"/>
      <c r="D64" s="20" t="s">
        <v>12</v>
      </c>
      <c r="E64" s="1">
        <v>20.190000000000001</v>
      </c>
      <c r="F64" s="36" t="s">
        <v>134</v>
      </c>
      <c r="G64" s="40">
        <v>6.0779999999999994E-2</v>
      </c>
      <c r="H64" s="41">
        <v>1.9900000000000001E-2</v>
      </c>
      <c r="I64" s="82">
        <v>0</v>
      </c>
      <c r="J64" s="1" t="s">
        <v>223</v>
      </c>
      <c r="K64" s="36">
        <v>9.8563645368994544E-4</v>
      </c>
      <c r="L64" s="36">
        <f t="shared" si="2"/>
        <v>9.8563645368994544E-4</v>
      </c>
      <c r="M64" s="36">
        <f t="shared" si="7"/>
        <v>2.2545803133677336E-2</v>
      </c>
      <c r="N64" s="36">
        <v>8.7073860992408858E-4</v>
      </c>
      <c r="U64" s="18"/>
    </row>
    <row r="65" spans="1:21" s="2" customFormat="1" x14ac:dyDescent="0.15">
      <c r="A65" s="48"/>
      <c r="B65" s="48"/>
      <c r="C65" s="48"/>
      <c r="D65" s="20" t="s">
        <v>12</v>
      </c>
      <c r="E65" s="1">
        <v>20.190000000000001</v>
      </c>
      <c r="F65" s="37" t="s">
        <v>135</v>
      </c>
      <c r="G65" s="3">
        <v>0.12537999999999999</v>
      </c>
      <c r="H65" s="4">
        <v>6.1400000000000003E-2</v>
      </c>
      <c r="I65" s="84">
        <v>0</v>
      </c>
      <c r="J65" s="1" t="s">
        <v>223</v>
      </c>
      <c r="K65" s="37">
        <f t="shared" ref="K65:K89" si="8">H65*COS(RADIANS(I65))/E65</f>
        <v>3.0411094601287764E-3</v>
      </c>
      <c r="L65" s="37">
        <f t="shared" si="2"/>
        <v>3.0411094601287764E-3</v>
      </c>
      <c r="M65" s="37">
        <f t="shared" si="7"/>
        <v>4.6508601462659831E-2</v>
      </c>
      <c r="N65" s="37">
        <v>5.460818713450292E-3</v>
      </c>
      <c r="U65" s="18"/>
    </row>
    <row r="66" spans="1:21" s="2" customFormat="1" x14ac:dyDescent="0.15">
      <c r="A66" s="48"/>
      <c r="B66" s="48"/>
      <c r="C66" s="48"/>
      <c r="D66" s="20" t="s">
        <v>11</v>
      </c>
      <c r="E66" s="1">
        <v>90</v>
      </c>
      <c r="F66" s="1" t="s">
        <v>136</v>
      </c>
      <c r="G66" s="3">
        <f>AVERAGE(G64:G65)</f>
        <v>9.3079999999999996E-2</v>
      </c>
      <c r="H66" s="4">
        <f>SUM(H64:H65)</f>
        <v>8.1300000000000011E-2</v>
      </c>
      <c r="I66" s="83">
        <f>AVERAGE(I64:I65)</f>
        <v>0</v>
      </c>
      <c r="J66" s="1" t="s">
        <v>223</v>
      </c>
      <c r="K66" s="22">
        <f t="shared" si="8"/>
        <v>9.0333333333333346E-4</v>
      </c>
      <c r="L66" s="22">
        <f t="shared" si="2"/>
        <v>9.0333333333333346E-4</v>
      </c>
      <c r="M66" s="22">
        <f t="shared" si="7"/>
        <v>2.1084162099309633E-2</v>
      </c>
      <c r="N66" s="37">
        <v>3.6298752050807504E-3</v>
      </c>
      <c r="U66" s="18"/>
    </row>
    <row r="67" spans="1:21" s="2" customFormat="1" x14ac:dyDescent="0.15">
      <c r="A67" s="48"/>
      <c r="B67" s="48"/>
      <c r="C67" s="48"/>
      <c r="D67" s="20" t="s">
        <v>13</v>
      </c>
      <c r="E67" s="1">
        <v>27.7</v>
      </c>
      <c r="F67" s="36" t="s">
        <v>134</v>
      </c>
      <c r="G67" s="40">
        <v>7.5999999999999998E-2</v>
      </c>
      <c r="H67" s="41">
        <v>2.0920999999999999E-2</v>
      </c>
      <c r="I67" s="82">
        <v>0</v>
      </c>
      <c r="J67" s="1" t="s">
        <v>223</v>
      </c>
      <c r="K67" s="36">
        <f t="shared" si="8"/>
        <v>7.5527075812274367E-4</v>
      </c>
      <c r="L67" s="36">
        <f t="shared" si="2"/>
        <v>7.5527075812274367E-4</v>
      </c>
      <c r="M67" s="36">
        <f t="shared" si="7"/>
        <v>2.5397751435198852E-2</v>
      </c>
      <c r="N67" s="37">
        <v>3.0411094601287764E-3</v>
      </c>
      <c r="U67" s="18"/>
    </row>
    <row r="68" spans="1:21" s="2" customFormat="1" x14ac:dyDescent="0.15">
      <c r="A68" s="48"/>
      <c r="B68" s="48"/>
      <c r="C68" s="48"/>
      <c r="D68" s="20" t="s">
        <v>13</v>
      </c>
      <c r="E68" s="1">
        <v>27.7</v>
      </c>
      <c r="F68" s="37" t="s">
        <v>135</v>
      </c>
      <c r="G68" s="3">
        <v>0.12</v>
      </c>
      <c r="H68" s="4">
        <v>9.7689999999999999E-2</v>
      </c>
      <c r="I68" s="83">
        <v>0</v>
      </c>
      <c r="J68" s="1" t="s">
        <v>223</v>
      </c>
      <c r="K68" s="37">
        <f t="shared" si="8"/>
        <v>3.5267148014440433E-3</v>
      </c>
      <c r="L68" s="37">
        <f t="shared" si="2"/>
        <v>3.5267148014440433E-3</v>
      </c>
      <c r="M68" s="37">
        <f t="shared" si="7"/>
        <v>4.0101712792419239E-2</v>
      </c>
      <c r="N68" s="37">
        <v>3.5267148014440433E-3</v>
      </c>
      <c r="U68" s="18"/>
    </row>
    <row r="69" spans="1:21" s="2" customFormat="1" x14ac:dyDescent="0.15">
      <c r="A69" s="48"/>
      <c r="B69" s="48"/>
      <c r="C69" s="48"/>
      <c r="D69" s="20" t="s">
        <v>13</v>
      </c>
      <c r="E69" s="1">
        <v>27.7</v>
      </c>
      <c r="F69" s="1" t="s">
        <v>136</v>
      </c>
      <c r="G69" s="3">
        <f>AVERAGE(G67:G68)</f>
        <v>9.8000000000000004E-2</v>
      </c>
      <c r="H69" s="4">
        <f>SUM(H67:H68)</f>
        <v>0.11861099999999999</v>
      </c>
      <c r="I69" s="83">
        <f>AVERAGE(I67:I68)</f>
        <v>0</v>
      </c>
      <c r="J69" s="1" t="s">
        <v>223</v>
      </c>
      <c r="K69" s="22">
        <f t="shared" si="8"/>
        <v>4.2819855595667873E-3</v>
      </c>
      <c r="L69" s="22">
        <f t="shared" ref="L69:L132" si="9">H69/E69</f>
        <v>4.2819855595667873E-3</v>
      </c>
      <c r="M69" s="22">
        <f t="shared" si="7"/>
        <v>3.2749732113809049E-2</v>
      </c>
      <c r="N69" s="37">
        <v>1.8366656387879374E-3</v>
      </c>
      <c r="U69" s="18"/>
    </row>
    <row r="70" spans="1:21" s="2" customFormat="1" x14ac:dyDescent="0.15">
      <c r="A70" s="48"/>
      <c r="B70" s="48"/>
      <c r="C70" s="48"/>
      <c r="D70" s="26" t="s">
        <v>14</v>
      </c>
      <c r="E70" s="42">
        <v>278</v>
      </c>
      <c r="F70" s="36" t="s">
        <v>134</v>
      </c>
      <c r="G70" s="40">
        <v>0.186</v>
      </c>
      <c r="H70" s="41">
        <v>0.18160000000000001</v>
      </c>
      <c r="I70" s="82">
        <v>0</v>
      </c>
      <c r="J70" s="1" t="s">
        <v>223</v>
      </c>
      <c r="K70" s="36">
        <f t="shared" si="8"/>
        <v>6.5323741007194253E-4</v>
      </c>
      <c r="L70" s="36">
        <f t="shared" si="9"/>
        <v>6.5323741007194253E-4</v>
      </c>
      <c r="M70" s="36">
        <f t="shared" si="7"/>
        <v>2.9038766297778063E-2</v>
      </c>
      <c r="N70" s="37">
        <v>3.185704606195737E-3</v>
      </c>
      <c r="U70" s="18"/>
    </row>
    <row r="71" spans="1:21" s="2" customFormat="1" x14ac:dyDescent="0.15">
      <c r="A71" s="48"/>
      <c r="B71" s="48"/>
      <c r="C71" s="48"/>
      <c r="D71" s="26" t="s">
        <v>14</v>
      </c>
      <c r="E71" s="42">
        <v>278</v>
      </c>
      <c r="F71" s="37" t="s">
        <v>135</v>
      </c>
      <c r="G71" s="3">
        <v>0.16500000000000001</v>
      </c>
      <c r="H71" s="4">
        <v>0.52200000000000002</v>
      </c>
      <c r="I71" s="83">
        <v>12</v>
      </c>
      <c r="J71" s="1" t="s">
        <v>223</v>
      </c>
      <c r="K71" s="37">
        <f t="shared" si="8"/>
        <v>1.8366656387879374E-3</v>
      </c>
      <c r="L71" s="37">
        <f t="shared" si="9"/>
        <v>1.8776978417266187E-3</v>
      </c>
      <c r="M71" s="37">
        <f t="shared" si="7"/>
        <v>2.5760195909319251E-2</v>
      </c>
      <c r="N71" s="22">
        <v>6.7233918128654967E-3</v>
      </c>
      <c r="U71" s="18"/>
    </row>
    <row r="72" spans="1:21" s="2" customFormat="1" x14ac:dyDescent="0.15">
      <c r="A72" s="48"/>
      <c r="B72" s="48"/>
      <c r="C72" s="48"/>
      <c r="D72" s="26" t="s">
        <v>14</v>
      </c>
      <c r="E72" s="42">
        <v>278</v>
      </c>
      <c r="F72" s="1" t="s">
        <v>136</v>
      </c>
      <c r="G72" s="3">
        <f>AVERAGE(G70:G71)</f>
        <v>0.17549999999999999</v>
      </c>
      <c r="H72" s="4">
        <f>SUM(H70:H71)</f>
        <v>0.7036</v>
      </c>
      <c r="I72" s="83">
        <f>AVERAGE(I70:I71)</f>
        <v>6</v>
      </c>
      <c r="J72" s="1" t="s">
        <v>223</v>
      </c>
      <c r="K72" s="22">
        <f t="shared" si="8"/>
        <v>2.5170705236730829E-3</v>
      </c>
      <c r="L72" s="22">
        <f t="shared" si="9"/>
        <v>2.530935251798561E-3</v>
      </c>
      <c r="M72" s="22">
        <f t="shared" si="7"/>
        <v>2.7399481103548656E-2</v>
      </c>
      <c r="N72" s="22">
        <v>4.933270180290974E-3</v>
      </c>
      <c r="U72" s="18"/>
    </row>
    <row r="73" spans="1:21" s="2" customFormat="1" x14ac:dyDescent="0.15">
      <c r="A73" s="48"/>
      <c r="B73" s="48"/>
      <c r="C73" s="48"/>
      <c r="D73" s="26" t="s">
        <v>15</v>
      </c>
      <c r="E73" s="42">
        <v>7.7</v>
      </c>
      <c r="F73" s="36" t="s">
        <v>134</v>
      </c>
      <c r="G73" s="40">
        <v>9.8166666999999999E-2</v>
      </c>
      <c r="H73" s="41">
        <v>6.3949999999999996E-3</v>
      </c>
      <c r="I73" s="82">
        <v>0</v>
      </c>
      <c r="J73" s="1" t="s">
        <v>223</v>
      </c>
      <c r="K73" s="36">
        <f t="shared" si="8"/>
        <v>8.3051948051948048E-4</v>
      </c>
      <c r="L73" s="36">
        <f t="shared" si="9"/>
        <v>8.3051948051948048E-4</v>
      </c>
      <c r="M73" s="36">
        <f t="shared" si="7"/>
        <v>5.0052077294994314E-2</v>
      </c>
      <c r="N73" s="22">
        <v>9.0333333333333346E-4</v>
      </c>
      <c r="U73" s="18"/>
    </row>
    <row r="74" spans="1:21" s="2" customFormat="1" x14ac:dyDescent="0.15">
      <c r="A74" s="48"/>
      <c r="B74" s="48"/>
      <c r="C74" s="48"/>
      <c r="D74" s="26" t="s">
        <v>15</v>
      </c>
      <c r="E74" s="42">
        <v>7.7</v>
      </c>
      <c r="F74" s="37" t="s">
        <v>135</v>
      </c>
      <c r="G74" s="3">
        <v>0.120333333</v>
      </c>
      <c r="H74" s="4">
        <v>2.6551000000000002E-2</v>
      </c>
      <c r="I74" s="83">
        <v>22.5</v>
      </c>
      <c r="J74" s="1" t="s">
        <v>223</v>
      </c>
      <c r="K74" s="37">
        <f t="shared" si="8"/>
        <v>3.185704606195737E-3</v>
      </c>
      <c r="L74" s="37">
        <f t="shared" si="9"/>
        <v>3.4481818181818181E-3</v>
      </c>
      <c r="M74" s="37">
        <f t="shared" si="7"/>
        <v>6.1354158886542318E-2</v>
      </c>
      <c r="N74" s="22">
        <v>4.2819855595667873E-3</v>
      </c>
      <c r="U74" s="18"/>
    </row>
    <row r="75" spans="1:21" s="2" customFormat="1" x14ac:dyDescent="0.15">
      <c r="A75" s="48"/>
      <c r="B75" s="48"/>
      <c r="C75" s="48"/>
      <c r="D75" s="26" t="s">
        <v>15</v>
      </c>
      <c r="E75" s="42">
        <v>7.7</v>
      </c>
      <c r="F75" s="1" t="s">
        <v>136</v>
      </c>
      <c r="G75" s="3">
        <f>AVERAGE(G73:G74)</f>
        <v>0.10925</v>
      </c>
      <c r="H75" s="4">
        <f>SUM(H73:H74)</f>
        <v>3.2946000000000003E-2</v>
      </c>
      <c r="I75" s="83">
        <f>AVERAGE(I73:I74)</f>
        <v>11.25</v>
      </c>
      <c r="J75" s="1" t="s">
        <v>223</v>
      </c>
      <c r="K75" s="22">
        <f t="shared" si="8"/>
        <v>4.1964872530084194E-3</v>
      </c>
      <c r="L75" s="22">
        <f t="shared" si="9"/>
        <v>4.2787012987012991E-3</v>
      </c>
      <c r="M75" s="22">
        <f t="shared" si="7"/>
        <v>5.5703118090768312E-2</v>
      </c>
      <c r="N75" s="22">
        <v>2.5170705236730829E-3</v>
      </c>
      <c r="U75" s="18"/>
    </row>
    <row r="76" spans="1:21" s="2" customFormat="1" x14ac:dyDescent="0.15">
      <c r="A76" s="48"/>
      <c r="B76" s="48"/>
      <c r="C76" s="48"/>
      <c r="D76" s="20" t="s">
        <v>14</v>
      </c>
      <c r="E76" s="1">
        <v>3.7</v>
      </c>
      <c r="F76" s="36" t="s">
        <v>134</v>
      </c>
      <c r="G76" s="40">
        <v>5.2607000000000001E-2</v>
      </c>
      <c r="H76" s="41">
        <v>3.2296E-3</v>
      </c>
      <c r="I76" s="82">
        <v>4</v>
      </c>
      <c r="J76" s="1" t="s">
        <v>222</v>
      </c>
      <c r="K76" s="36">
        <f t="shared" si="8"/>
        <v>8.7073860992408858E-4</v>
      </c>
      <c r="L76" s="36">
        <f t="shared" si="9"/>
        <v>8.7286486486486483E-4</v>
      </c>
      <c r="M76" s="36">
        <f t="shared" si="7"/>
        <v>3.416150277696596E-2</v>
      </c>
      <c r="N76" s="22">
        <v>4.1964872530084194E-3</v>
      </c>
      <c r="U76" s="18"/>
    </row>
    <row r="77" spans="1:21" s="2" customFormat="1" x14ac:dyDescent="0.15">
      <c r="A77" s="48"/>
      <c r="B77" s="48"/>
      <c r="C77" s="48"/>
      <c r="D77" s="20" t="s">
        <v>23</v>
      </c>
      <c r="E77" s="1">
        <v>0.435</v>
      </c>
      <c r="F77" s="1" t="s">
        <v>132</v>
      </c>
      <c r="G77" s="3">
        <f>3.516*E77^(0.33)/100</f>
        <v>2.6714701210489068E-2</v>
      </c>
      <c r="H77" s="4">
        <f>0.449*E77/100</f>
        <v>1.9531500000000003E-3</v>
      </c>
      <c r="I77" s="83">
        <v>4.6669999999999998</v>
      </c>
      <c r="J77" s="28" t="s">
        <v>20</v>
      </c>
      <c r="K77" s="21">
        <f t="shared" si="8"/>
        <v>4.4751130220122334E-3</v>
      </c>
      <c r="L77" s="21">
        <f t="shared" si="9"/>
        <v>4.4900000000000009E-3</v>
      </c>
      <c r="M77" s="21">
        <f t="shared" si="7"/>
        <v>3.5160000000000004E-2</v>
      </c>
      <c r="N77" s="1">
        <f t="shared" ref="N77:N82" si="10">K77/2</f>
        <v>2.2375565110061167E-3</v>
      </c>
      <c r="U77" s="18"/>
    </row>
    <row r="78" spans="1:21" s="2" customFormat="1" x14ac:dyDescent="0.15">
      <c r="A78" s="48"/>
      <c r="B78" s="48"/>
      <c r="C78" s="48"/>
      <c r="D78" s="20" t="s">
        <v>24</v>
      </c>
      <c r="E78" s="1">
        <v>36.667000000000002</v>
      </c>
      <c r="F78" s="1" t="s">
        <v>132</v>
      </c>
      <c r="G78" s="3">
        <f>3.212*E78^(0.33)/100</f>
        <v>0.10543539066059102</v>
      </c>
      <c r="H78" s="4">
        <f>0.487*E78/100</f>
        <v>0.17856829000000002</v>
      </c>
      <c r="I78" s="83">
        <v>2.444</v>
      </c>
      <c r="J78" s="28" t="s">
        <v>20</v>
      </c>
      <c r="K78" s="21">
        <f t="shared" si="8"/>
        <v>4.8655701374389522E-3</v>
      </c>
      <c r="L78" s="21">
        <f t="shared" si="9"/>
        <v>4.8700000000000002E-3</v>
      </c>
      <c r="M78" s="21">
        <f t="shared" si="7"/>
        <v>3.2119999999999996E-2</v>
      </c>
      <c r="N78" s="1">
        <f t="shared" si="10"/>
        <v>2.4327850687194761E-3</v>
      </c>
      <c r="U78" s="18"/>
    </row>
    <row r="79" spans="1:21" s="2" customFormat="1" x14ac:dyDescent="0.15">
      <c r="A79" s="48"/>
      <c r="B79" s="48"/>
      <c r="C79" s="48"/>
      <c r="D79" s="20" t="s">
        <v>25</v>
      </c>
      <c r="E79" s="1">
        <v>1.609</v>
      </c>
      <c r="F79" s="1" t="s">
        <v>132</v>
      </c>
      <c r="G79" s="3">
        <f>3.526*E79^(0.33)/100</f>
        <v>4.1252075365793173E-2</v>
      </c>
      <c r="H79" s="4">
        <f>0.391*E79/100</f>
        <v>6.2911899999999995E-3</v>
      </c>
      <c r="I79" s="83">
        <v>2.278</v>
      </c>
      <c r="J79" s="28" t="s">
        <v>20</v>
      </c>
      <c r="K79" s="21">
        <f t="shared" si="8"/>
        <v>3.9069100480463937E-3</v>
      </c>
      <c r="L79" s="21">
        <f t="shared" si="9"/>
        <v>3.9099999999999994E-3</v>
      </c>
      <c r="M79" s="21">
        <f t="shared" si="7"/>
        <v>3.5259999999999993E-2</v>
      </c>
      <c r="N79" s="1">
        <f t="shared" si="10"/>
        <v>1.9534550240231968E-3</v>
      </c>
      <c r="U79" s="18"/>
    </row>
    <row r="80" spans="1:21" s="2" customFormat="1" x14ac:dyDescent="0.15">
      <c r="A80" s="48"/>
      <c r="B80" s="48"/>
      <c r="C80" s="48"/>
      <c r="D80" s="20" t="s">
        <v>26</v>
      </c>
      <c r="E80" s="1">
        <v>0.158</v>
      </c>
      <c r="F80" s="1" t="s">
        <v>132</v>
      </c>
      <c r="G80" s="3">
        <f>2.702*E80^(0.33)/100</f>
        <v>1.4697456496531036E-2</v>
      </c>
      <c r="H80" s="4">
        <f>0.331*E80/100</f>
        <v>5.2298000000000004E-4</v>
      </c>
      <c r="I80" s="83">
        <v>2.6669999999999998</v>
      </c>
      <c r="J80" s="28" t="s">
        <v>20</v>
      </c>
      <c r="K80" s="21">
        <f t="shared" si="8"/>
        <v>3.3064147425459567E-3</v>
      </c>
      <c r="L80" s="21">
        <f t="shared" si="9"/>
        <v>3.31E-3</v>
      </c>
      <c r="M80" s="21">
        <f t="shared" si="7"/>
        <v>2.7020000000000002E-2</v>
      </c>
      <c r="N80" s="1">
        <f t="shared" si="10"/>
        <v>1.6532073712729784E-3</v>
      </c>
      <c r="U80" s="18"/>
    </row>
    <row r="81" spans="1:21" s="2" customFormat="1" x14ac:dyDescent="0.15">
      <c r="A81" s="48"/>
      <c r="B81" s="48"/>
      <c r="C81" s="48"/>
      <c r="D81" s="20" t="s">
        <v>27</v>
      </c>
      <c r="E81" s="1">
        <v>0.158</v>
      </c>
      <c r="F81" s="1" t="s">
        <v>132</v>
      </c>
      <c r="G81" s="3">
        <f>2.945*E81^(0.33)/100</f>
        <v>1.6019248476048815E-2</v>
      </c>
      <c r="H81" s="4">
        <f>0.522*E81/100</f>
        <v>8.2476000000000012E-4</v>
      </c>
      <c r="I81" s="83">
        <v>2.8889999999999998</v>
      </c>
      <c r="J81" s="28" t="s">
        <v>20</v>
      </c>
      <c r="K81" s="21">
        <f t="shared" si="8"/>
        <v>5.2133656510515419E-3</v>
      </c>
      <c r="L81" s="21">
        <f t="shared" si="9"/>
        <v>5.2200000000000007E-3</v>
      </c>
      <c r="M81" s="21">
        <f t="shared" si="7"/>
        <v>2.9449999999999997E-2</v>
      </c>
      <c r="N81" s="1">
        <f t="shared" si="10"/>
        <v>2.6066828255257709E-3</v>
      </c>
      <c r="U81" s="18"/>
    </row>
    <row r="82" spans="1:21" s="2" customFormat="1" x14ac:dyDescent="0.15">
      <c r="A82" s="48"/>
      <c r="B82" s="48"/>
      <c r="C82" s="48"/>
      <c r="D82" s="20" t="s">
        <v>28</v>
      </c>
      <c r="E82" s="1">
        <v>2.6230000000000002</v>
      </c>
      <c r="F82" s="1" t="s">
        <v>132</v>
      </c>
      <c r="G82" s="3">
        <f>2.978*E82^(0.33)/100</f>
        <v>4.0938142115960384E-2</v>
      </c>
      <c r="H82" s="4">
        <f>0.314*E82/100</f>
        <v>8.2362200000000007E-3</v>
      </c>
      <c r="I82" s="83">
        <v>0.83299999999999996</v>
      </c>
      <c r="J82" s="28" t="s">
        <v>20</v>
      </c>
      <c r="K82" s="21">
        <f t="shared" si="8"/>
        <v>3.1396681538827E-3</v>
      </c>
      <c r="L82" s="21">
        <f t="shared" si="9"/>
        <v>3.14E-3</v>
      </c>
      <c r="M82" s="21">
        <f t="shared" si="7"/>
        <v>2.9780000000000004E-2</v>
      </c>
      <c r="N82" s="1">
        <f t="shared" si="10"/>
        <v>1.56983407694135E-3</v>
      </c>
      <c r="U82" s="18"/>
    </row>
    <row r="83" spans="1:21" s="2" customFormat="1" x14ac:dyDescent="0.15">
      <c r="A83" s="48"/>
      <c r="B83" s="48"/>
      <c r="C83" s="48"/>
      <c r="D83" s="20" t="s">
        <v>41</v>
      </c>
      <c r="E83" s="21">
        <v>9.7070000000000004E-2</v>
      </c>
      <c r="F83" s="22" t="s">
        <v>130</v>
      </c>
      <c r="G83" s="3">
        <v>5.0239999999999998E-3</v>
      </c>
      <c r="H83" s="4">
        <v>1.9239999999999999E-4</v>
      </c>
      <c r="I83" s="83">
        <v>0</v>
      </c>
      <c r="J83" s="28" t="s">
        <v>43</v>
      </c>
      <c r="K83" s="21">
        <f t="shared" si="8"/>
        <v>1.982074791387658E-3</v>
      </c>
      <c r="L83" s="21">
        <f t="shared" si="9"/>
        <v>1.982074791387658E-3</v>
      </c>
      <c r="M83" s="21">
        <f t="shared" si="7"/>
        <v>1.0847048223948821E-2</v>
      </c>
      <c r="U83" s="18"/>
    </row>
    <row r="84" spans="1:21" s="2" customFormat="1" x14ac:dyDescent="0.15">
      <c r="A84" s="48"/>
      <c r="B84" s="48"/>
      <c r="C84" s="48"/>
      <c r="D84" s="20" t="s">
        <v>41</v>
      </c>
      <c r="E84" s="21">
        <v>0.10265000000000001</v>
      </c>
      <c r="F84" s="22" t="s">
        <v>130</v>
      </c>
      <c r="G84" s="3">
        <v>9.2619999999999994E-3</v>
      </c>
      <c r="H84" s="4">
        <v>2.879E-4</v>
      </c>
      <c r="I84" s="83">
        <v>0</v>
      </c>
      <c r="J84" s="28" t="s">
        <v>43</v>
      </c>
      <c r="K84" s="21">
        <f t="shared" si="8"/>
        <v>2.8046760837798345E-3</v>
      </c>
      <c r="L84" s="21">
        <f t="shared" si="9"/>
        <v>2.8046760837798345E-3</v>
      </c>
      <c r="M84" s="21">
        <f t="shared" si="7"/>
        <v>1.9631628267882666E-2</v>
      </c>
      <c r="U84" s="18"/>
    </row>
    <row r="85" spans="1:21" s="2" customFormat="1" x14ac:dyDescent="0.15">
      <c r="A85" s="48"/>
      <c r="B85" s="48"/>
      <c r="C85" s="48"/>
      <c r="D85" s="20" t="s">
        <v>42</v>
      </c>
      <c r="E85" s="21">
        <v>5.7000000000000002E-2</v>
      </c>
      <c r="F85" s="22" t="s">
        <v>130</v>
      </c>
      <c r="G85" s="3">
        <v>9.7140000000000004E-3</v>
      </c>
      <c r="H85" s="4">
        <v>5.52E-5</v>
      </c>
      <c r="I85" s="83">
        <v>0</v>
      </c>
      <c r="J85" s="28" t="s">
        <v>43</v>
      </c>
      <c r="K85" s="21">
        <f t="shared" si="8"/>
        <v>9.6842105263157891E-4</v>
      </c>
      <c r="L85" s="21">
        <f t="shared" si="9"/>
        <v>9.6842105263157891E-4</v>
      </c>
      <c r="M85" s="21">
        <f t="shared" si="7"/>
        <v>2.5001116093263945E-2</v>
      </c>
      <c r="U85" s="18"/>
    </row>
    <row r="86" spans="1:21" s="2" customFormat="1" x14ac:dyDescent="0.15">
      <c r="A86" s="48"/>
      <c r="B86" s="48"/>
      <c r="C86" s="48"/>
      <c r="D86" s="20" t="s">
        <v>42</v>
      </c>
      <c r="E86" s="21">
        <v>5.1700000000000003E-2</v>
      </c>
      <c r="F86" s="22" t="s">
        <v>130</v>
      </c>
      <c r="G86" s="3">
        <v>8.4189999999999994E-3</v>
      </c>
      <c r="H86" s="4">
        <v>5.1100000000000002E-5</v>
      </c>
      <c r="I86" s="83">
        <v>0</v>
      </c>
      <c r="J86" s="28" t="s">
        <v>43</v>
      </c>
      <c r="K86" s="21">
        <f t="shared" si="8"/>
        <v>9.8839458413926503E-4</v>
      </c>
      <c r="L86" s="21">
        <f t="shared" si="9"/>
        <v>9.8839458413926503E-4</v>
      </c>
      <c r="M86" s="21">
        <f t="shared" si="7"/>
        <v>2.2377348745549353E-2</v>
      </c>
      <c r="U86" s="18"/>
    </row>
    <row r="87" spans="1:21" s="2" customFormat="1" x14ac:dyDescent="0.15">
      <c r="A87" s="10"/>
      <c r="B87" s="48"/>
      <c r="C87" s="48"/>
      <c r="D87" s="18" t="s">
        <v>111</v>
      </c>
      <c r="E87" s="21">
        <v>0.89984193999999995</v>
      </c>
      <c r="F87" s="22" t="s">
        <v>134</v>
      </c>
      <c r="G87" s="21"/>
      <c r="H87" s="29">
        <v>5.6458372949399994E-4</v>
      </c>
      <c r="I87" s="85">
        <f>AVERAGE(I58:I86)</f>
        <v>2.5957931034482762</v>
      </c>
      <c r="J87" s="21" t="s">
        <v>206</v>
      </c>
      <c r="K87" s="29">
        <f t="shared" si="8"/>
        <v>6.2678164223933124E-4</v>
      </c>
      <c r="L87" s="29">
        <f t="shared" si="9"/>
        <v>6.2742544484423559E-4</v>
      </c>
      <c r="M87" s="22"/>
      <c r="N87" s="21">
        <f>1/H$89*H87</f>
        <v>0.29244683704424135</v>
      </c>
      <c r="U87" s="18"/>
    </row>
    <row r="88" spans="1:21" s="2" customFormat="1" x14ac:dyDescent="0.15">
      <c r="A88" s="10"/>
      <c r="B88" s="48"/>
      <c r="C88" s="48"/>
      <c r="D88" s="68" t="s">
        <v>111</v>
      </c>
      <c r="E88" s="51">
        <v>0.89984193999999995</v>
      </c>
      <c r="F88" s="51" t="s">
        <v>135</v>
      </c>
      <c r="G88" s="51"/>
      <c r="H88" s="95">
        <v>1.36596794E-3</v>
      </c>
      <c r="I88" s="85">
        <f>AVERAGE(I58:I86)</f>
        <v>2.5957931034482762</v>
      </c>
      <c r="J88" s="21" t="s">
        <v>206</v>
      </c>
      <c r="K88" s="29">
        <f t="shared" si="8"/>
        <v>1.5164511195652072E-3</v>
      </c>
      <c r="L88" s="29">
        <f t="shared" si="9"/>
        <v>1.5180087516258689E-3</v>
      </c>
      <c r="M88" s="22"/>
      <c r="N88" s="21">
        <f>1/H$89*H88</f>
        <v>0.70755316295575854</v>
      </c>
      <c r="U88" s="18"/>
    </row>
    <row r="89" spans="1:21" s="2" customFormat="1" x14ac:dyDescent="0.15">
      <c r="A89" s="48"/>
      <c r="B89" s="48"/>
      <c r="C89" s="48"/>
      <c r="D89" s="68" t="s">
        <v>111</v>
      </c>
      <c r="E89" s="51">
        <v>0.89984193999999995</v>
      </c>
      <c r="F89" s="51" t="s">
        <v>137</v>
      </c>
      <c r="G89" s="51"/>
      <c r="H89" s="95">
        <f>SUM(H87:H88)</f>
        <v>1.9305516694939999E-3</v>
      </c>
      <c r="I89" s="85">
        <f>AVERAGE(I58:I86)</f>
        <v>2.5957931034482762</v>
      </c>
      <c r="J89" s="21" t="s">
        <v>206</v>
      </c>
      <c r="K89" s="29">
        <f t="shared" si="8"/>
        <v>2.1432327618045384E-3</v>
      </c>
      <c r="L89" s="29">
        <f t="shared" si="9"/>
        <v>2.1454341964701044E-3</v>
      </c>
      <c r="M89" s="22"/>
      <c r="N89" s="51">
        <f>SUM(N87:N88)</f>
        <v>0.99999999999999989</v>
      </c>
      <c r="U89" s="18"/>
    </row>
    <row r="90" spans="1:21" s="2" customFormat="1" x14ac:dyDescent="0.15">
      <c r="A90" s="14"/>
      <c r="B90" s="15"/>
      <c r="C90" s="15"/>
      <c r="D90" s="18"/>
      <c r="E90" s="14"/>
      <c r="F90" s="15"/>
      <c r="G90" s="14"/>
      <c r="H90" s="14"/>
      <c r="I90" s="87"/>
      <c r="J90" s="21"/>
      <c r="K90" s="15"/>
      <c r="L90" s="15"/>
      <c r="M90" s="15"/>
      <c r="U90" s="18"/>
    </row>
    <row r="91" spans="1:21" s="2" customFormat="1" x14ac:dyDescent="0.15">
      <c r="A91" s="14"/>
      <c r="B91" s="15"/>
      <c r="C91" s="15"/>
      <c r="D91" s="18"/>
      <c r="E91" s="14"/>
      <c r="F91" s="15"/>
      <c r="G91" s="14"/>
      <c r="H91" s="14"/>
      <c r="I91" s="87"/>
      <c r="J91" s="14"/>
      <c r="K91" s="15"/>
      <c r="L91" s="15"/>
      <c r="M91" s="15"/>
      <c r="U91" s="18"/>
    </row>
    <row r="92" spans="1:21" x14ac:dyDescent="0.15">
      <c r="A92" s="47" t="s">
        <v>50</v>
      </c>
      <c r="B92" s="48" t="s">
        <v>59</v>
      </c>
      <c r="C92" s="48" t="s">
        <v>55</v>
      </c>
      <c r="D92" s="20" t="s">
        <v>8</v>
      </c>
      <c r="E92" s="1">
        <v>17.100000000000001</v>
      </c>
      <c r="F92" s="1" t="s">
        <v>47</v>
      </c>
      <c r="G92" s="40">
        <v>4.5333333333333337E-2</v>
      </c>
      <c r="H92" s="41">
        <v>1.6389999999999998E-2</v>
      </c>
      <c r="I92" s="82">
        <v>0</v>
      </c>
      <c r="J92" s="1" t="s">
        <v>223</v>
      </c>
      <c r="K92" s="1">
        <f t="shared" ref="K92:K109" si="11">H92*COS(RADIANS(I92))/E92</f>
        <v>9.5847953216374247E-4</v>
      </c>
      <c r="L92" s="1">
        <f t="shared" si="9"/>
        <v>9.5847953216374247E-4</v>
      </c>
      <c r="M92" s="21">
        <f t="shared" ref="M92:M108" si="12">G92/(E92^0.33)</f>
        <v>1.7763516233895157E-2</v>
      </c>
    </row>
    <row r="93" spans="1:21" x14ac:dyDescent="0.15">
      <c r="D93" s="20" t="s">
        <v>11</v>
      </c>
      <c r="E93" s="1">
        <v>90</v>
      </c>
      <c r="F93" s="1" t="s">
        <v>47</v>
      </c>
      <c r="G93" s="3">
        <v>7.1625000000000008E-2</v>
      </c>
      <c r="H93" s="4">
        <v>5.1619999999999999E-2</v>
      </c>
      <c r="I93" s="83">
        <v>23</v>
      </c>
      <c r="J93" s="1" t="s">
        <v>223</v>
      </c>
      <c r="K93" s="1">
        <f t="shared" si="11"/>
        <v>5.2796067261349968E-4</v>
      </c>
      <c r="L93" s="1">
        <f t="shared" si="9"/>
        <v>5.7355555555555556E-4</v>
      </c>
      <c r="M93" s="1">
        <f t="shared" si="12"/>
        <v>1.6224249144424718E-2</v>
      </c>
    </row>
    <row r="94" spans="1:21" x14ac:dyDescent="0.15">
      <c r="D94" s="20" t="s">
        <v>12</v>
      </c>
      <c r="E94" s="1">
        <v>20.190000000000001</v>
      </c>
      <c r="F94" s="1" t="s">
        <v>47</v>
      </c>
      <c r="G94" s="3">
        <v>2.154E-2</v>
      </c>
      <c r="H94" s="4">
        <v>8.6E-3</v>
      </c>
      <c r="I94" s="84">
        <v>23.8</v>
      </c>
      <c r="J94" s="1" t="s">
        <v>223</v>
      </c>
      <c r="K94" s="1">
        <f t="shared" si="11"/>
        <v>3.8973022008462075E-4</v>
      </c>
      <c r="L94" s="1">
        <f t="shared" si="9"/>
        <v>4.259534422981674E-4</v>
      </c>
      <c r="M94" s="1">
        <f t="shared" si="12"/>
        <v>7.9900723839981883E-3</v>
      </c>
    </row>
    <row r="95" spans="1:21" x14ac:dyDescent="0.15">
      <c r="D95" s="20" t="s">
        <v>13</v>
      </c>
      <c r="E95" s="1">
        <v>27.7</v>
      </c>
      <c r="F95" s="1" t="s">
        <v>47</v>
      </c>
      <c r="G95" s="3">
        <v>0.06</v>
      </c>
      <c r="H95" s="39">
        <v>2.1000000000000001E-2</v>
      </c>
      <c r="I95" s="83">
        <v>30</v>
      </c>
      <c r="J95" s="1" t="s">
        <v>223</v>
      </c>
      <c r="K95" s="1">
        <f t="shared" si="11"/>
        <v>6.5655355521563946E-4</v>
      </c>
      <c r="L95" s="1">
        <f t="shared" si="9"/>
        <v>7.5812274368231057E-4</v>
      </c>
      <c r="M95" s="1">
        <f t="shared" si="12"/>
        <v>2.005085639620962E-2</v>
      </c>
      <c r="N95" s="52" t="s">
        <v>45</v>
      </c>
    </row>
    <row r="96" spans="1:21" x14ac:dyDescent="0.15">
      <c r="D96" s="26" t="s">
        <v>14</v>
      </c>
      <c r="E96" s="42">
        <v>278</v>
      </c>
      <c r="F96" s="1" t="s">
        <v>47</v>
      </c>
      <c r="G96" s="6">
        <v>8.8999999999999996E-2</v>
      </c>
      <c r="H96" s="7">
        <v>9.8599999999999993E-2</v>
      </c>
      <c r="I96" s="88">
        <v>27</v>
      </c>
      <c r="J96" s="1" t="s">
        <v>223</v>
      </c>
      <c r="K96" s="42">
        <f t="shared" si="11"/>
        <v>3.1601886073731318E-4</v>
      </c>
      <c r="L96" s="42">
        <f t="shared" si="9"/>
        <v>3.5467625899280572E-4</v>
      </c>
      <c r="M96" s="42">
        <f t="shared" si="12"/>
        <v>1.3894893551087353E-2</v>
      </c>
    </row>
    <row r="97" spans="1:14" x14ac:dyDescent="0.15">
      <c r="D97" s="26" t="s">
        <v>15</v>
      </c>
      <c r="E97" s="42">
        <v>7.7</v>
      </c>
      <c r="F97" s="1" t="s">
        <v>47</v>
      </c>
      <c r="G97" s="6">
        <v>2.5399999999999999E-2</v>
      </c>
      <c r="H97" s="7">
        <v>8.2159999999999993E-3</v>
      </c>
      <c r="I97" s="88">
        <v>0</v>
      </c>
      <c r="J97" s="1" t="s">
        <v>223</v>
      </c>
      <c r="K97" s="42">
        <f t="shared" si="11"/>
        <v>1.067012987012987E-3</v>
      </c>
      <c r="L97" s="42">
        <f t="shared" si="9"/>
        <v>1.067012987012987E-3</v>
      </c>
      <c r="M97" s="42">
        <f t="shared" si="12"/>
        <v>1.2950656288380002E-2</v>
      </c>
    </row>
    <row r="98" spans="1:14" x14ac:dyDescent="0.15">
      <c r="D98" s="20" t="s">
        <v>14</v>
      </c>
      <c r="E98" s="1">
        <v>3.7</v>
      </c>
      <c r="F98" s="1" t="s">
        <v>47</v>
      </c>
      <c r="G98" s="40">
        <v>3.3592999999999998E-2</v>
      </c>
      <c r="H98" s="41">
        <v>2.5967999999999998E-3</v>
      </c>
      <c r="I98" s="82">
        <v>11.33333</v>
      </c>
      <c r="J98" s="1" t="s">
        <v>222</v>
      </c>
      <c r="K98" s="1">
        <f t="shared" si="11"/>
        <v>6.8815235596432608E-4</v>
      </c>
      <c r="L98" s="1">
        <f t="shared" si="9"/>
        <v>7.0183783783783771E-4</v>
      </c>
      <c r="M98" s="1">
        <f t="shared" si="12"/>
        <v>2.18143471930849E-2</v>
      </c>
    </row>
    <row r="99" spans="1:14" x14ac:dyDescent="0.15">
      <c r="D99" s="20" t="s">
        <v>23</v>
      </c>
      <c r="E99" s="21">
        <v>0.443</v>
      </c>
      <c r="F99" s="22" t="s">
        <v>48</v>
      </c>
      <c r="G99" s="3">
        <f>1.938*E99^(0.33)/100</f>
        <v>1.4813817921094111E-2</v>
      </c>
      <c r="H99" s="41">
        <f>0.054*E99/100</f>
        <v>2.3921999999999998E-4</v>
      </c>
      <c r="I99" s="82">
        <v>1.444</v>
      </c>
      <c r="J99" s="28" t="s">
        <v>20</v>
      </c>
      <c r="K99" s="1">
        <f t="shared" si="11"/>
        <v>5.3982851351517234E-4</v>
      </c>
      <c r="L99" s="1">
        <f t="shared" si="9"/>
        <v>5.399999999999999E-4</v>
      </c>
      <c r="M99" s="1">
        <f t="shared" si="12"/>
        <v>1.9380000000000001E-2</v>
      </c>
    </row>
    <row r="100" spans="1:14" x14ac:dyDescent="0.15">
      <c r="D100" s="20" t="s">
        <v>24</v>
      </c>
      <c r="E100" s="21">
        <v>36.667000000000002</v>
      </c>
      <c r="F100" s="22" t="s">
        <v>48</v>
      </c>
      <c r="G100" s="3">
        <f>2.433*E100^(0.33)/100</f>
        <v>7.9864354133629495E-2</v>
      </c>
      <c r="H100" s="41">
        <f>0.101*E100/100</f>
        <v>3.7033670000000005E-2</v>
      </c>
      <c r="I100" s="82">
        <v>2.3330000000000002</v>
      </c>
      <c r="J100" s="28" t="s">
        <v>20</v>
      </c>
      <c r="K100" s="1">
        <f t="shared" si="11"/>
        <v>1.0091628262833086E-3</v>
      </c>
      <c r="L100" s="1">
        <f t="shared" si="9"/>
        <v>1.01E-3</v>
      </c>
      <c r="M100" s="1">
        <f t="shared" si="12"/>
        <v>2.4329999999999997E-2</v>
      </c>
    </row>
    <row r="101" spans="1:14" x14ac:dyDescent="0.15">
      <c r="D101" s="20" t="s">
        <v>25</v>
      </c>
      <c r="E101" s="21">
        <v>1.609</v>
      </c>
      <c r="F101" s="22" t="s">
        <v>48</v>
      </c>
      <c r="G101" s="3">
        <f>2.427*E101^(0.33)/100</f>
        <v>2.8394437581616576E-2</v>
      </c>
      <c r="H101" s="41">
        <f>0.067*E101/100</f>
        <v>1.07803E-3</v>
      </c>
      <c r="I101" s="82">
        <v>2.427</v>
      </c>
      <c r="J101" s="28" t="s">
        <v>20</v>
      </c>
      <c r="K101" s="1">
        <f t="shared" si="11"/>
        <v>6.6939900043710217E-4</v>
      </c>
      <c r="L101" s="1">
        <f t="shared" si="9"/>
        <v>6.7000000000000002E-4</v>
      </c>
      <c r="M101" s="1">
        <f t="shared" si="12"/>
        <v>2.427E-2</v>
      </c>
    </row>
    <row r="102" spans="1:14" x14ac:dyDescent="0.15">
      <c r="D102" s="20" t="s">
        <v>26</v>
      </c>
      <c r="E102" s="21">
        <v>0.158</v>
      </c>
      <c r="F102" s="22" t="s">
        <v>48</v>
      </c>
      <c r="G102" s="3">
        <f>1.835*E102^(0.33)/100</f>
        <v>9.9814332609675979E-3</v>
      </c>
      <c r="H102" s="41">
        <f>0.026*E102/100</f>
        <v>4.108E-5</v>
      </c>
      <c r="I102" s="82">
        <v>1.835</v>
      </c>
      <c r="J102" s="28" t="s">
        <v>20</v>
      </c>
      <c r="K102" s="1">
        <f t="shared" si="11"/>
        <v>2.5986666839639995E-4</v>
      </c>
      <c r="L102" s="1">
        <f t="shared" si="9"/>
        <v>2.5999999999999998E-4</v>
      </c>
      <c r="M102" s="1">
        <f t="shared" si="12"/>
        <v>1.8349999999999998E-2</v>
      </c>
    </row>
    <row r="103" spans="1:14" x14ac:dyDescent="0.15">
      <c r="D103" s="20" t="s">
        <v>27</v>
      </c>
      <c r="E103" s="21">
        <v>0.158</v>
      </c>
      <c r="F103" s="22" t="s">
        <v>48</v>
      </c>
      <c r="G103" s="3">
        <f>2.029*E103^(0.33)/100</f>
        <v>1.1036691055315127E-2</v>
      </c>
      <c r="H103" s="41">
        <f>0.048*E103/100</f>
        <v>7.5840000000000006E-5</v>
      </c>
      <c r="I103" s="82">
        <v>2.0289999999999999</v>
      </c>
      <c r="J103" s="28" t="s">
        <v>20</v>
      </c>
      <c r="K103" s="1">
        <f t="shared" si="11"/>
        <v>4.7969905669614717E-4</v>
      </c>
      <c r="L103" s="1">
        <f t="shared" si="9"/>
        <v>4.8000000000000001E-4</v>
      </c>
      <c r="M103" s="1">
        <f t="shared" si="12"/>
        <v>2.0290000000000002E-2</v>
      </c>
    </row>
    <row r="104" spans="1:14" x14ac:dyDescent="0.15">
      <c r="D104" s="20" t="s">
        <v>28</v>
      </c>
      <c r="E104" s="21">
        <v>2.6230000000000002</v>
      </c>
      <c r="F104" s="22" t="s">
        <v>48</v>
      </c>
      <c r="G104" s="3">
        <f>2.523*E104^(0.33)/100</f>
        <v>3.4683321879975831E-2</v>
      </c>
      <c r="H104" s="41">
        <f>0.069*E104/100</f>
        <v>1.8098700000000003E-3</v>
      </c>
      <c r="I104" s="82">
        <v>2.5230000000000001</v>
      </c>
      <c r="J104" s="28" t="s">
        <v>20</v>
      </c>
      <c r="K104" s="1">
        <f t="shared" si="11"/>
        <v>6.8933113548893317E-4</v>
      </c>
      <c r="L104" s="1">
        <f t="shared" si="9"/>
        <v>6.9000000000000008E-4</v>
      </c>
      <c r="M104" s="1">
        <f t="shared" si="12"/>
        <v>2.5229999999999999E-2</v>
      </c>
    </row>
    <row r="105" spans="1:14" x14ac:dyDescent="0.15">
      <c r="D105" s="20" t="s">
        <v>41</v>
      </c>
      <c r="E105" s="21">
        <v>9.7070000000000004E-2</v>
      </c>
      <c r="F105" s="22" t="s">
        <v>49</v>
      </c>
      <c r="G105" s="3">
        <v>4.398E-3</v>
      </c>
      <c r="H105" s="4">
        <v>5.8499999999999999E-5</v>
      </c>
      <c r="I105" s="83">
        <v>0</v>
      </c>
      <c r="J105" s="28" t="s">
        <v>43</v>
      </c>
      <c r="K105" s="21">
        <f t="shared" si="11"/>
        <v>6.0265787575976097E-4</v>
      </c>
      <c r="L105" s="21">
        <f t="shared" si="9"/>
        <v>6.0265787575976097E-4</v>
      </c>
      <c r="M105" s="21">
        <f t="shared" si="12"/>
        <v>9.4954852884010579E-3</v>
      </c>
    </row>
    <row r="106" spans="1:14" x14ac:dyDescent="0.15">
      <c r="D106" s="20" t="s">
        <v>41</v>
      </c>
      <c r="E106" s="21">
        <v>0.10265000000000001</v>
      </c>
      <c r="F106" s="22" t="s">
        <v>49</v>
      </c>
      <c r="G106" s="3">
        <v>7.9550000000000003E-3</v>
      </c>
      <c r="H106" s="4">
        <v>6.2299999999999996E-5</v>
      </c>
      <c r="I106" s="83">
        <v>0</v>
      </c>
      <c r="J106" s="28" t="s">
        <v>43</v>
      </c>
      <c r="K106" s="21">
        <f t="shared" si="11"/>
        <v>6.0691670725767169E-4</v>
      </c>
      <c r="L106" s="21">
        <f t="shared" si="9"/>
        <v>6.0691670725767169E-4</v>
      </c>
      <c r="M106" s="21">
        <f t="shared" si="12"/>
        <v>1.6861326157526085E-2</v>
      </c>
    </row>
    <row r="107" spans="1:14" x14ac:dyDescent="0.15">
      <c r="D107" s="20" t="s">
        <v>42</v>
      </c>
      <c r="E107" s="21">
        <v>5.7000000000000002E-2</v>
      </c>
      <c r="F107" s="22" t="s">
        <v>49</v>
      </c>
      <c r="G107" s="3">
        <v>6.0930000000000003E-3</v>
      </c>
      <c r="H107" s="4">
        <v>2.3200000000000001E-5</v>
      </c>
      <c r="I107" s="83">
        <v>0</v>
      </c>
      <c r="J107" s="28" t="s">
        <v>43</v>
      </c>
      <c r="K107" s="21">
        <f t="shared" si="11"/>
        <v>4.0701754385964913E-4</v>
      </c>
      <c r="L107" s="21">
        <f t="shared" si="9"/>
        <v>4.0701754385964913E-4</v>
      </c>
      <c r="M107" s="21">
        <f t="shared" si="12"/>
        <v>1.5681675968319663E-2</v>
      </c>
    </row>
    <row r="108" spans="1:14" x14ac:dyDescent="0.15">
      <c r="D108" s="20" t="s">
        <v>42</v>
      </c>
      <c r="E108" s="21">
        <v>5.1700000000000003E-2</v>
      </c>
      <c r="F108" s="22" t="s">
        <v>49</v>
      </c>
      <c r="G108" s="3">
        <v>4.3499999999999997E-3</v>
      </c>
      <c r="H108" s="4">
        <v>2.1699999999999999E-5</v>
      </c>
      <c r="I108" s="83">
        <v>0</v>
      </c>
      <c r="J108" s="28" t="s">
        <v>43</v>
      </c>
      <c r="K108" s="21">
        <f t="shared" si="11"/>
        <v>4.1972920696324947E-4</v>
      </c>
      <c r="L108" s="21">
        <f t="shared" si="9"/>
        <v>4.1972920696324947E-4</v>
      </c>
      <c r="M108" s="21">
        <f t="shared" si="12"/>
        <v>1.1562117477507981E-2</v>
      </c>
    </row>
    <row r="109" spans="1:14" x14ac:dyDescent="0.15">
      <c r="A109" s="10"/>
      <c r="D109" s="18" t="s">
        <v>111</v>
      </c>
      <c r="E109" s="21">
        <v>0.89984193999999995</v>
      </c>
      <c r="F109" s="22" t="s">
        <v>47</v>
      </c>
      <c r="H109" s="32">
        <v>9.6812662000000016E-4</v>
      </c>
      <c r="I109" s="85">
        <f>AVERAGE(I92:I108)</f>
        <v>7.5131958823529406</v>
      </c>
      <c r="J109" s="21" t="s">
        <v>206</v>
      </c>
      <c r="K109" s="32">
        <f t="shared" si="11"/>
        <v>1.0666484755912739E-3</v>
      </c>
      <c r="L109" s="32">
        <f t="shared" si="9"/>
        <v>1.0758851937930345E-3</v>
      </c>
    </row>
    <row r="110" spans="1:14" x14ac:dyDescent="0.15">
      <c r="D110" s="18"/>
      <c r="I110" s="85"/>
      <c r="K110" s="21"/>
      <c r="L110" s="21"/>
      <c r="M110" s="21"/>
    </row>
    <row r="111" spans="1:14" x14ac:dyDescent="0.15">
      <c r="I111" s="85"/>
    </row>
    <row r="112" spans="1:14" x14ac:dyDescent="0.15">
      <c r="A112" s="47" t="s">
        <v>30</v>
      </c>
      <c r="B112" s="48" t="s">
        <v>54</v>
      </c>
      <c r="C112" s="48" t="s">
        <v>55</v>
      </c>
      <c r="D112" s="20" t="s">
        <v>8</v>
      </c>
      <c r="E112" s="21">
        <v>17.100000000000001</v>
      </c>
      <c r="F112" s="43" t="s">
        <v>31</v>
      </c>
      <c r="G112" s="3">
        <v>0.05</v>
      </c>
      <c r="H112" s="38">
        <v>1.7229999999999999E-2</v>
      </c>
      <c r="I112" s="83">
        <v>28.75</v>
      </c>
      <c r="J112" s="1" t="s">
        <v>223</v>
      </c>
      <c r="K112" s="43">
        <f t="shared" ref="K112:K149" si="13">H112*COS(RADIANS(I112))/E112</f>
        <v>8.8339192987370492E-4</v>
      </c>
      <c r="L112" s="43">
        <f t="shared" si="9"/>
        <v>1.0076023391812864E-3</v>
      </c>
      <c r="M112" s="44">
        <f t="shared" ref="M112:M130" si="14">G112/(E112^0.33)</f>
        <v>1.9592113493266717E-2</v>
      </c>
      <c r="N112" s="43">
        <v>8.8339192987370492E-4</v>
      </c>
    </row>
    <row r="113" spans="4:17" x14ac:dyDescent="0.15">
      <c r="D113" s="20" t="s">
        <v>8</v>
      </c>
      <c r="E113" s="21">
        <v>17.100000000000001</v>
      </c>
      <c r="F113" s="59" t="s">
        <v>32</v>
      </c>
      <c r="G113" s="3">
        <v>2.5500000000000002E-2</v>
      </c>
      <c r="H113" s="4">
        <v>3.8500000000000001E-3</v>
      </c>
      <c r="I113" s="83">
        <v>25.833333333333332</v>
      </c>
      <c r="J113" s="1" t="s">
        <v>223</v>
      </c>
      <c r="K113" s="59">
        <f t="shared" si="13"/>
        <v>2.0264630617993371E-4</v>
      </c>
      <c r="L113" s="59">
        <f t="shared" si="9"/>
        <v>2.2514619883040935E-4</v>
      </c>
      <c r="M113" s="59">
        <f t="shared" si="14"/>
        <v>9.9919778815660259E-3</v>
      </c>
      <c r="N113" s="43">
        <v>3.6266666666666668E-4</v>
      </c>
    </row>
    <row r="114" spans="4:17" x14ac:dyDescent="0.15">
      <c r="D114" s="20" t="s">
        <v>8</v>
      </c>
      <c r="E114" s="21">
        <v>17.100000000000001</v>
      </c>
      <c r="F114" s="22" t="s">
        <v>112</v>
      </c>
      <c r="G114" s="3">
        <f>AVERAGE(G112:G113)</f>
        <v>3.7750000000000006E-2</v>
      </c>
      <c r="H114" s="4">
        <f>SUM(H112:H113)</f>
        <v>2.1079999999999998E-2</v>
      </c>
      <c r="I114" s="83">
        <f>AVERAGE(I112:I113)</f>
        <v>27.291666666666664</v>
      </c>
      <c r="J114" s="1" t="s">
        <v>223</v>
      </c>
      <c r="K114" s="22">
        <f t="shared" si="13"/>
        <v>1.09552381685434E-3</v>
      </c>
      <c r="L114" s="22">
        <f t="shared" si="9"/>
        <v>1.2327485380116956E-3</v>
      </c>
      <c r="M114" s="22">
        <f t="shared" si="14"/>
        <v>1.4792045687416374E-2</v>
      </c>
      <c r="N114" s="43">
        <v>3.1203566121842496E-4</v>
      </c>
    </row>
    <row r="115" spans="4:17" x14ac:dyDescent="0.15">
      <c r="D115" s="20" t="s">
        <v>11</v>
      </c>
      <c r="E115" s="21">
        <v>90</v>
      </c>
      <c r="F115" s="43" t="s">
        <v>31</v>
      </c>
      <c r="G115" s="30">
        <v>6.7599999999999993E-2</v>
      </c>
      <c r="H115" s="31">
        <v>3.2640000000000002E-2</v>
      </c>
      <c r="I115" s="89">
        <v>0</v>
      </c>
      <c r="J115" s="1" t="s">
        <v>223</v>
      </c>
      <c r="K115" s="43">
        <f t="shared" si="13"/>
        <v>3.6266666666666668E-4</v>
      </c>
      <c r="L115" s="43">
        <f t="shared" si="9"/>
        <v>3.6266666666666668E-4</v>
      </c>
      <c r="M115" s="43">
        <f t="shared" si="14"/>
        <v>1.5312519960392469E-2</v>
      </c>
      <c r="N115" s="43">
        <v>6.6534296028880862E-4</v>
      </c>
    </row>
    <row r="116" spans="4:17" x14ac:dyDescent="0.15">
      <c r="D116" s="20" t="s">
        <v>12</v>
      </c>
      <c r="E116" s="21">
        <v>20.190000000000001</v>
      </c>
      <c r="F116" s="43" t="s">
        <v>31</v>
      </c>
      <c r="G116" s="3">
        <v>6.8440000000000001E-2</v>
      </c>
      <c r="H116" s="4">
        <v>6.3E-3</v>
      </c>
      <c r="I116" s="84">
        <v>0</v>
      </c>
      <c r="J116" s="1" t="s">
        <v>223</v>
      </c>
      <c r="K116" s="43">
        <f t="shared" si="13"/>
        <v>3.1203566121842496E-4</v>
      </c>
      <c r="L116" s="43">
        <f t="shared" si="9"/>
        <v>3.1203566121842496E-4</v>
      </c>
      <c r="M116" s="43">
        <f t="shared" si="14"/>
        <v>2.538721234729972E-2</v>
      </c>
      <c r="N116" s="43">
        <v>4.5873052611337321E-4</v>
      </c>
    </row>
    <row r="117" spans="4:17" x14ac:dyDescent="0.15">
      <c r="D117" s="20" t="s">
        <v>12</v>
      </c>
      <c r="E117" s="21">
        <v>20.190000000000001</v>
      </c>
      <c r="F117" s="59" t="s">
        <v>32</v>
      </c>
      <c r="G117" s="3">
        <v>5.4399999999999997E-2</v>
      </c>
      <c r="H117" s="4">
        <v>1.46E-2</v>
      </c>
      <c r="I117" s="84">
        <v>0</v>
      </c>
      <c r="J117" s="1" t="s">
        <v>223</v>
      </c>
      <c r="K117" s="59">
        <f t="shared" si="13"/>
        <v>7.2313026250619115E-4</v>
      </c>
      <c r="L117" s="59">
        <f t="shared" si="9"/>
        <v>7.2313026250619115E-4</v>
      </c>
      <c r="M117" s="59">
        <f t="shared" si="14"/>
        <v>2.0179198592827362E-2</v>
      </c>
      <c r="N117" s="43">
        <v>1.4722077922077923E-3</v>
      </c>
    </row>
    <row r="118" spans="4:17" x14ac:dyDescent="0.15">
      <c r="D118" s="20" t="s">
        <v>12</v>
      </c>
      <c r="E118" s="21">
        <v>20.190000000000001</v>
      </c>
      <c r="F118" s="22" t="s">
        <v>112</v>
      </c>
      <c r="G118" s="3">
        <f>AVERAGE(G116:G117)</f>
        <v>6.1420000000000002E-2</v>
      </c>
      <c r="H118" s="4">
        <f>SUM(H116:H117)</f>
        <v>2.0900000000000002E-2</v>
      </c>
      <c r="I118" s="83">
        <f>AVERAGE(I116:I117)</f>
        <v>0</v>
      </c>
      <c r="J118" s="1" t="s">
        <v>223</v>
      </c>
      <c r="K118" s="22">
        <f t="shared" si="13"/>
        <v>1.0351659237246161E-3</v>
      </c>
      <c r="L118" s="22">
        <f t="shared" si="9"/>
        <v>1.0351659237246161E-3</v>
      </c>
      <c r="M118" s="22">
        <f t="shared" si="14"/>
        <v>2.2783205470063541E-2</v>
      </c>
      <c r="N118" s="43">
        <v>7.917873541590728E-4</v>
      </c>
    </row>
    <row r="119" spans="4:17" x14ac:dyDescent="0.15">
      <c r="D119" s="20" t="s">
        <v>13</v>
      </c>
      <c r="E119" s="21">
        <v>27.7</v>
      </c>
      <c r="F119" s="43" t="s">
        <v>31</v>
      </c>
      <c r="G119" s="3">
        <v>8.1400000000000014E-2</v>
      </c>
      <c r="H119" s="4">
        <v>1.8429999999999998E-2</v>
      </c>
      <c r="I119" s="83">
        <v>0</v>
      </c>
      <c r="J119" s="1" t="s">
        <v>223</v>
      </c>
      <c r="K119" s="43">
        <f t="shared" si="13"/>
        <v>6.6534296028880862E-4</v>
      </c>
      <c r="L119" s="43">
        <f t="shared" si="9"/>
        <v>6.6534296028880862E-4</v>
      </c>
      <c r="M119" s="43">
        <f t="shared" si="14"/>
        <v>2.7202328510857722E-2</v>
      </c>
      <c r="N119" s="59">
        <v>2.0264630617993371E-4</v>
      </c>
    </row>
    <row r="120" spans="4:17" x14ac:dyDescent="0.15">
      <c r="D120" s="20" t="s">
        <v>13</v>
      </c>
      <c r="E120" s="21">
        <v>27.7</v>
      </c>
      <c r="F120" s="59" t="s">
        <v>32</v>
      </c>
      <c r="G120" s="3">
        <v>3.6600000000000001E-2</v>
      </c>
      <c r="H120" s="4">
        <v>6.7799999999999996E-3</v>
      </c>
      <c r="I120" s="83">
        <v>13.333333333333334</v>
      </c>
      <c r="J120" s="1" t="s">
        <v>223</v>
      </c>
      <c r="K120" s="59">
        <f t="shared" si="13"/>
        <v>2.3816766146322039E-4</v>
      </c>
      <c r="L120" s="59">
        <f t="shared" si="9"/>
        <v>2.4476534296028878E-4</v>
      </c>
      <c r="M120" s="59">
        <f t="shared" si="14"/>
        <v>1.2231022401687868E-2</v>
      </c>
      <c r="N120" s="59">
        <v>7.2313026250619115E-4</v>
      </c>
    </row>
    <row r="121" spans="4:17" x14ac:dyDescent="0.15">
      <c r="D121" s="20" t="s">
        <v>13</v>
      </c>
      <c r="E121" s="21">
        <v>27.7</v>
      </c>
      <c r="F121" s="22" t="s">
        <v>112</v>
      </c>
      <c r="G121" s="3">
        <f>AVERAGE(G119:G120)</f>
        <v>5.9000000000000011E-2</v>
      </c>
      <c r="H121" s="4">
        <f>SUM(H119:H120)</f>
        <v>2.5209999999999996E-2</v>
      </c>
      <c r="I121" s="83">
        <f>AVERAGE(I119:I120)</f>
        <v>6.666666666666667</v>
      </c>
      <c r="J121" s="1" t="s">
        <v>223</v>
      </c>
      <c r="K121" s="22">
        <f t="shared" si="13"/>
        <v>9.0395447648643971E-4</v>
      </c>
      <c r="L121" s="22">
        <f t="shared" si="9"/>
        <v>9.1010830324909735E-4</v>
      </c>
      <c r="M121" s="22">
        <f t="shared" si="14"/>
        <v>1.9716675456272797E-2</v>
      </c>
      <c r="N121" s="59">
        <v>2.3816766146322039E-4</v>
      </c>
    </row>
    <row r="122" spans="4:17" x14ac:dyDescent="0.15">
      <c r="D122" s="26" t="s">
        <v>14</v>
      </c>
      <c r="E122" s="25">
        <v>278</v>
      </c>
      <c r="F122" s="43" t="s">
        <v>31</v>
      </c>
      <c r="G122" s="3">
        <v>0.112</v>
      </c>
      <c r="H122" s="4">
        <v>0.1366</v>
      </c>
      <c r="I122" s="83">
        <v>21</v>
      </c>
      <c r="J122" s="1" t="s">
        <v>223</v>
      </c>
      <c r="K122" s="43">
        <f t="shared" si="13"/>
        <v>4.5873052611337321E-4</v>
      </c>
      <c r="L122" s="43">
        <f t="shared" si="9"/>
        <v>4.9136690647482014E-4</v>
      </c>
      <c r="M122" s="43">
        <f t="shared" si="14"/>
        <v>1.7485708738447008E-2</v>
      </c>
      <c r="N122" s="59">
        <v>9.9093398910786044E-5</v>
      </c>
    </row>
    <row r="123" spans="4:17" x14ac:dyDescent="0.15">
      <c r="D123" s="26" t="s">
        <v>14</v>
      </c>
      <c r="E123" s="25">
        <v>278</v>
      </c>
      <c r="F123" s="59" t="s">
        <v>32</v>
      </c>
      <c r="G123" s="3">
        <v>5.2999999999999999E-2</v>
      </c>
      <c r="H123" s="4">
        <v>3.1199999999999999E-2</v>
      </c>
      <c r="I123" s="83">
        <v>28</v>
      </c>
      <c r="J123" s="1" t="s">
        <v>223</v>
      </c>
      <c r="K123" s="59">
        <f t="shared" si="13"/>
        <v>9.9093398910786044E-5</v>
      </c>
      <c r="L123" s="59">
        <f t="shared" si="9"/>
        <v>1.1223021582733813E-4</v>
      </c>
      <c r="M123" s="59">
        <f t="shared" si="14"/>
        <v>8.2744871708722439E-3</v>
      </c>
      <c r="N123" s="59">
        <v>1.6207792207792207E-4</v>
      </c>
      <c r="Q123" s="9"/>
    </row>
    <row r="124" spans="4:17" x14ac:dyDescent="0.15">
      <c r="D124" s="26" t="s">
        <v>14</v>
      </c>
      <c r="E124" s="25">
        <v>278</v>
      </c>
      <c r="F124" s="22" t="s">
        <v>112</v>
      </c>
      <c r="G124" s="3">
        <f>AVERAGE(G122:G123)</f>
        <v>8.2500000000000004E-2</v>
      </c>
      <c r="H124" s="4">
        <f>SUM(H122:H123)</f>
        <v>0.1678</v>
      </c>
      <c r="I124" s="83">
        <f>AVERAGE(I122:I123)</f>
        <v>24.5</v>
      </c>
      <c r="J124" s="1" t="s">
        <v>223</v>
      </c>
      <c r="K124" s="22">
        <f t="shared" si="13"/>
        <v>5.492500045074962E-4</v>
      </c>
      <c r="L124" s="22">
        <f t="shared" si="9"/>
        <v>6.035971223021583E-4</v>
      </c>
      <c r="M124" s="22">
        <f t="shared" si="14"/>
        <v>1.2880097954659626E-2</v>
      </c>
      <c r="N124" s="59">
        <v>2.881787656085961E-4</v>
      </c>
      <c r="Q124" s="9"/>
    </row>
    <row r="125" spans="4:17" x14ac:dyDescent="0.15">
      <c r="D125" s="26" t="s">
        <v>15</v>
      </c>
      <c r="E125" s="25">
        <v>7.7</v>
      </c>
      <c r="F125" s="43" t="s">
        <v>31</v>
      </c>
      <c r="G125" s="3">
        <v>8.5999999999999993E-2</v>
      </c>
      <c r="H125" s="4">
        <v>1.1336000000000001E-2</v>
      </c>
      <c r="I125" s="83">
        <v>0</v>
      </c>
      <c r="J125" s="1" t="s">
        <v>223</v>
      </c>
      <c r="K125" s="43">
        <f t="shared" si="13"/>
        <v>1.4722077922077923E-3</v>
      </c>
      <c r="L125" s="43">
        <f t="shared" si="9"/>
        <v>1.4722077922077923E-3</v>
      </c>
      <c r="M125" s="43">
        <f t="shared" si="14"/>
        <v>4.3848678771680319E-2</v>
      </c>
      <c r="N125" s="22">
        <v>1.09552381685434E-3</v>
      </c>
      <c r="Q125" s="9"/>
    </row>
    <row r="126" spans="4:17" x14ac:dyDescent="0.15">
      <c r="D126" s="26" t="s">
        <v>15</v>
      </c>
      <c r="E126" s="25">
        <v>7.7</v>
      </c>
      <c r="F126" s="59" t="s">
        <v>32</v>
      </c>
      <c r="G126" s="3">
        <v>8.8999999999999996E-2</v>
      </c>
      <c r="H126" s="4">
        <v>1.248E-3</v>
      </c>
      <c r="I126" s="83">
        <v>0</v>
      </c>
      <c r="J126" s="1" t="s">
        <v>223</v>
      </c>
      <c r="K126" s="59">
        <f t="shared" si="13"/>
        <v>1.6207792207792207E-4</v>
      </c>
      <c r="L126" s="59">
        <f t="shared" si="9"/>
        <v>1.6207792207792207E-4</v>
      </c>
      <c r="M126" s="59">
        <f t="shared" si="14"/>
        <v>4.5378283845111028E-2</v>
      </c>
      <c r="N126" s="22">
        <v>1.0351659237246161E-3</v>
      </c>
      <c r="Q126" s="22"/>
    </row>
    <row r="127" spans="4:17" x14ac:dyDescent="0.15">
      <c r="D127" s="26" t="s">
        <v>15</v>
      </c>
      <c r="E127" s="25">
        <v>7.7</v>
      </c>
      <c r="F127" s="22" t="s">
        <v>112</v>
      </c>
      <c r="G127" s="3">
        <f>AVERAGE(G125:G126)</f>
        <v>8.7499999999999994E-2</v>
      </c>
      <c r="H127" s="4">
        <f>SUM(H125:H126)</f>
        <v>1.2584000000000001E-2</v>
      </c>
      <c r="I127" s="83">
        <f>AVERAGE(I125:I126)</f>
        <v>0</v>
      </c>
      <c r="J127" s="1" t="s">
        <v>223</v>
      </c>
      <c r="K127" s="22">
        <f t="shared" si="13"/>
        <v>1.6342857142857144E-3</v>
      </c>
      <c r="L127" s="22">
        <f t="shared" si="9"/>
        <v>1.6342857142857144E-3</v>
      </c>
      <c r="M127" s="22">
        <f t="shared" si="14"/>
        <v>4.4613481308395674E-2</v>
      </c>
      <c r="N127" s="22">
        <v>9.0737155403754644E-4</v>
      </c>
      <c r="Q127" s="9"/>
    </row>
    <row r="128" spans="4:17" x14ac:dyDescent="0.15">
      <c r="D128" s="20" t="s">
        <v>14</v>
      </c>
      <c r="E128" s="21">
        <v>3.7</v>
      </c>
      <c r="F128" s="43" t="s">
        <v>31</v>
      </c>
      <c r="G128" s="3">
        <v>4.1353000000000001E-2</v>
      </c>
      <c r="H128" s="4">
        <v>2.944E-3</v>
      </c>
      <c r="I128" s="83">
        <v>5.6666670000000003</v>
      </c>
      <c r="J128" s="1" t="s">
        <v>223</v>
      </c>
      <c r="K128" s="43">
        <f t="shared" si="13"/>
        <v>7.917873541590728E-4</v>
      </c>
      <c r="L128" s="43">
        <f t="shared" si="9"/>
        <v>7.9567567567567559E-4</v>
      </c>
      <c r="M128" s="43">
        <f t="shared" si="14"/>
        <v>2.6853472434008274E-2</v>
      </c>
      <c r="N128" s="22">
        <v>5.7465483229572937E-4</v>
      </c>
      <c r="Q128" s="9"/>
    </row>
    <row r="129" spans="4:18" x14ac:dyDescent="0.15">
      <c r="D129" s="20" t="s">
        <v>14</v>
      </c>
      <c r="E129" s="21">
        <v>3.7</v>
      </c>
      <c r="F129" s="59" t="s">
        <v>32</v>
      </c>
      <c r="G129" s="3">
        <v>1.1603E-2</v>
      </c>
      <c r="H129" s="4">
        <v>1.15E-3</v>
      </c>
      <c r="I129" s="83">
        <v>22</v>
      </c>
      <c r="J129" s="1" t="s">
        <v>223</v>
      </c>
      <c r="K129" s="59">
        <f t="shared" si="13"/>
        <v>2.881787656085961E-4</v>
      </c>
      <c r="L129" s="59">
        <f t="shared" si="9"/>
        <v>3.1081081081081081E-4</v>
      </c>
      <c r="M129" s="59">
        <f t="shared" si="14"/>
        <v>7.5346611044373561E-3</v>
      </c>
      <c r="N129" s="22">
        <v>1.6255160282098208E-3</v>
      </c>
      <c r="Q129" s="9"/>
    </row>
    <row r="130" spans="4:18" x14ac:dyDescent="0.15">
      <c r="D130" s="20" t="s">
        <v>14</v>
      </c>
      <c r="E130" s="21">
        <v>3.7</v>
      </c>
      <c r="F130" s="22" t="s">
        <v>112</v>
      </c>
      <c r="G130" s="3">
        <f>AVERAGE(G128:G129)</f>
        <v>2.6478000000000002E-2</v>
      </c>
      <c r="H130" s="4">
        <f>SUM(H128:H129)</f>
        <v>4.0940000000000004E-3</v>
      </c>
      <c r="I130" s="83">
        <f>AVERAGE(I128:I129)</f>
        <v>13.8333335</v>
      </c>
      <c r="J130" s="1" t="s">
        <v>222</v>
      </c>
      <c r="K130" s="22">
        <f t="shared" si="13"/>
        <v>1.0743932240707701E-3</v>
      </c>
      <c r="L130" s="22">
        <f t="shared" si="9"/>
        <v>1.1064864864864866E-3</v>
      </c>
      <c r="M130" s="22">
        <f t="shared" si="14"/>
        <v>1.7194066769222815E-2</v>
      </c>
      <c r="N130" s="22">
        <v>1.0854074478578162E-3</v>
      </c>
    </row>
    <row r="131" spans="4:18" x14ac:dyDescent="0.15">
      <c r="D131" s="20" t="s">
        <v>23</v>
      </c>
      <c r="E131" s="21">
        <v>0.443</v>
      </c>
      <c r="F131" s="43" t="s">
        <v>33</v>
      </c>
      <c r="G131" s="3" t="s">
        <v>35</v>
      </c>
      <c r="H131" s="4">
        <f>0.307*E131/100</f>
        <v>1.36001E-3</v>
      </c>
      <c r="I131" s="83">
        <v>0</v>
      </c>
      <c r="J131" s="1" t="s">
        <v>222</v>
      </c>
      <c r="K131" s="43">
        <f t="shared" si="13"/>
        <v>3.0700000000000002E-3</v>
      </c>
      <c r="L131" s="43">
        <f t="shared" si="9"/>
        <v>3.0700000000000002E-3</v>
      </c>
      <c r="M131" s="108">
        <v>0</v>
      </c>
      <c r="N131" s="43">
        <v>3.0700000000000002E-3</v>
      </c>
    </row>
    <row r="132" spans="4:18" x14ac:dyDescent="0.15">
      <c r="D132" s="20" t="s">
        <v>24</v>
      </c>
      <c r="E132" s="21">
        <v>36.667000000000002</v>
      </c>
      <c r="F132" s="43" t="s">
        <v>33</v>
      </c>
      <c r="G132" s="3">
        <f>4.168*E132^(0.33)/100</f>
        <v>0.13681653433167601</v>
      </c>
      <c r="H132" s="4">
        <f>0.293*E132/100</f>
        <v>0.10743430999999999</v>
      </c>
      <c r="I132" s="83">
        <v>0</v>
      </c>
      <c r="J132" s="1" t="s">
        <v>222</v>
      </c>
      <c r="K132" s="43">
        <f t="shared" si="13"/>
        <v>2.9299999999999994E-3</v>
      </c>
      <c r="L132" s="43">
        <f t="shared" si="9"/>
        <v>2.9299999999999994E-3</v>
      </c>
      <c r="M132" s="43">
        <f t="shared" ref="M132:M137" si="15">G132/(E132^0.33)</f>
        <v>4.1679999999999995E-2</v>
      </c>
      <c r="N132" s="43">
        <v>2.9299999999999994E-3</v>
      </c>
    </row>
    <row r="133" spans="4:18" x14ac:dyDescent="0.15">
      <c r="D133" s="20" t="s">
        <v>24</v>
      </c>
      <c r="E133" s="21">
        <v>36.667000000000002</v>
      </c>
      <c r="F133" s="59" t="s">
        <v>34</v>
      </c>
      <c r="G133" s="3">
        <f>3.156*E133^(0.33)/100</f>
        <v>0.10359716467148981</v>
      </c>
      <c r="H133" s="4">
        <f>0.355*E133/100</f>
        <v>0.13016785</v>
      </c>
      <c r="I133" s="83">
        <v>0</v>
      </c>
      <c r="J133" s="21" t="s">
        <v>207</v>
      </c>
      <c r="K133" s="59">
        <f t="shared" si="13"/>
        <v>3.5499999999999998E-3</v>
      </c>
      <c r="L133" s="59">
        <f t="shared" ref="L133:L196" si="16">H133/E133</f>
        <v>3.5499999999999998E-3</v>
      </c>
      <c r="M133" s="59">
        <f t="shared" si="15"/>
        <v>3.1560000000000005E-2</v>
      </c>
      <c r="N133" s="43">
        <v>3.2200000000000006E-3</v>
      </c>
    </row>
    <row r="134" spans="4:18" x14ac:dyDescent="0.15">
      <c r="D134" s="20" t="s">
        <v>24</v>
      </c>
      <c r="E134" s="21">
        <v>36.667000000000002</v>
      </c>
      <c r="F134" s="22" t="s">
        <v>112</v>
      </c>
      <c r="G134" s="3">
        <f>AVERAGE(G132:G133)</f>
        <v>0.12020684950158292</v>
      </c>
      <c r="H134" s="4">
        <f>SUM(H132:H133)</f>
        <v>0.23760216000000001</v>
      </c>
      <c r="I134" s="83">
        <f>AVERAGE(I132:I133)</f>
        <v>0</v>
      </c>
      <c r="J134" s="21" t="s">
        <v>208</v>
      </c>
      <c r="K134" s="22">
        <f t="shared" si="13"/>
        <v>6.4799999999999996E-3</v>
      </c>
      <c r="L134" s="22">
        <f t="shared" si="16"/>
        <v>6.4799999999999996E-3</v>
      </c>
      <c r="M134" s="22">
        <f t="shared" si="15"/>
        <v>3.662E-2</v>
      </c>
      <c r="N134" s="43">
        <v>1.7899999999999999E-3</v>
      </c>
    </row>
    <row r="135" spans="4:18" x14ac:dyDescent="0.15">
      <c r="D135" s="20" t="s">
        <v>25</v>
      </c>
      <c r="E135" s="21">
        <v>1.609</v>
      </c>
      <c r="F135" s="43" t="s">
        <v>33</v>
      </c>
      <c r="G135" s="3">
        <f>3.537*E135^(0.33)/100</f>
        <v>4.1380768737609326E-2</v>
      </c>
      <c r="H135" s="4">
        <f>0.322*E135/100</f>
        <v>5.1809800000000008E-3</v>
      </c>
      <c r="I135" s="83">
        <v>0</v>
      </c>
      <c r="J135" s="21" t="s">
        <v>209</v>
      </c>
      <c r="K135" s="43">
        <f t="shared" si="13"/>
        <v>3.2200000000000006E-3</v>
      </c>
      <c r="L135" s="43">
        <f t="shared" si="16"/>
        <v>3.2200000000000006E-3</v>
      </c>
      <c r="M135" s="43">
        <f t="shared" si="15"/>
        <v>3.5369999999999999E-2</v>
      </c>
      <c r="N135" s="43">
        <v>2.9399999999999999E-3</v>
      </c>
    </row>
    <row r="136" spans="4:18" x14ac:dyDescent="0.15">
      <c r="D136" s="20" t="s">
        <v>25</v>
      </c>
      <c r="E136" s="21">
        <v>1.609</v>
      </c>
      <c r="F136" s="59" t="s">
        <v>34</v>
      </c>
      <c r="G136" s="3">
        <f>3.803*E136^(0.33)/100</f>
        <v>4.4492808456072452E-2</v>
      </c>
      <c r="H136" s="4">
        <f>0.232*E136/100</f>
        <v>3.7328800000000001E-3</v>
      </c>
      <c r="I136" s="83">
        <f>AVERAGE(I133:I135)</f>
        <v>0</v>
      </c>
      <c r="J136" s="21" t="s">
        <v>210</v>
      </c>
      <c r="K136" s="59">
        <f t="shared" si="13"/>
        <v>2.32E-3</v>
      </c>
      <c r="L136" s="59">
        <f t="shared" si="16"/>
        <v>2.32E-3</v>
      </c>
      <c r="M136" s="59">
        <f t="shared" si="15"/>
        <v>3.8030000000000001E-2</v>
      </c>
      <c r="N136" s="43">
        <v>2.7800000000000004E-3</v>
      </c>
    </row>
    <row r="137" spans="4:18" x14ac:dyDescent="0.15">
      <c r="D137" s="20" t="s">
        <v>25</v>
      </c>
      <c r="E137" s="21">
        <v>1.609</v>
      </c>
      <c r="F137" s="22" t="s">
        <v>112</v>
      </c>
      <c r="G137" s="3">
        <f>AVERAGE(G135:G136)</f>
        <v>4.2936788596840886E-2</v>
      </c>
      <c r="H137" s="4">
        <f>SUM(H135:H136)</f>
        <v>8.9138600000000009E-3</v>
      </c>
      <c r="I137" s="83">
        <f>AVERAGE(I135:I136)</f>
        <v>0</v>
      </c>
      <c r="J137" s="21" t="s">
        <v>211</v>
      </c>
      <c r="K137" s="22">
        <f t="shared" si="13"/>
        <v>5.5400000000000007E-3</v>
      </c>
      <c r="L137" s="22">
        <f t="shared" si="16"/>
        <v>5.5400000000000007E-3</v>
      </c>
      <c r="M137" s="22">
        <f t="shared" si="15"/>
        <v>3.6699999999999997E-2</v>
      </c>
      <c r="N137" s="59">
        <v>3.5499999999999998E-3</v>
      </c>
    </row>
    <row r="138" spans="4:18" x14ac:dyDescent="0.15">
      <c r="D138" s="20" t="s">
        <v>26</v>
      </c>
      <c r="E138" s="21">
        <v>0.158</v>
      </c>
      <c r="F138" s="43" t="s">
        <v>33</v>
      </c>
      <c r="G138" s="3" t="s">
        <v>35</v>
      </c>
      <c r="H138" s="4">
        <f>0.179*E138/100</f>
        <v>2.8281999999999998E-4</v>
      </c>
      <c r="I138" s="83">
        <v>0</v>
      </c>
      <c r="J138" s="21" t="s">
        <v>212</v>
      </c>
      <c r="K138" s="43">
        <f t="shared" si="13"/>
        <v>1.7899999999999999E-3</v>
      </c>
      <c r="L138" s="43">
        <f t="shared" si="16"/>
        <v>1.7899999999999999E-3</v>
      </c>
      <c r="M138" s="108">
        <v>0</v>
      </c>
      <c r="N138" s="59">
        <v>2.32E-3</v>
      </c>
    </row>
    <row r="139" spans="4:18" x14ac:dyDescent="0.15">
      <c r="D139" s="20" t="s">
        <v>27</v>
      </c>
      <c r="E139" s="21">
        <v>0.158</v>
      </c>
      <c r="F139" s="43" t="s">
        <v>33</v>
      </c>
      <c r="G139" s="3">
        <f>3.636*E139^(0.33)/100</f>
        <v>1.9777924434266042E-2</v>
      </c>
      <c r="H139" s="4">
        <f>0.294*E139/100</f>
        <v>4.6452E-4</v>
      </c>
      <c r="I139" s="83">
        <v>0</v>
      </c>
      <c r="J139" s="21" t="s">
        <v>213</v>
      </c>
      <c r="K139" s="43">
        <f t="shared" si="13"/>
        <v>2.9399999999999999E-3</v>
      </c>
      <c r="L139" s="43">
        <f t="shared" si="16"/>
        <v>2.9399999999999999E-3</v>
      </c>
      <c r="M139" s="43">
        <f t="shared" ref="M139:M148" si="17">G139/(E139^0.33)</f>
        <v>3.6360000000000003E-2</v>
      </c>
      <c r="N139" s="59">
        <v>1.6200000000000001E-3</v>
      </c>
    </row>
    <row r="140" spans="4:18" x14ac:dyDescent="0.15">
      <c r="D140" s="20" t="s">
        <v>27</v>
      </c>
      <c r="E140" s="21">
        <v>0.158</v>
      </c>
      <c r="F140" s="59" t="s">
        <v>34</v>
      </c>
      <c r="G140" s="3">
        <f>3.842*E140^(0.33)/100</f>
        <v>2.089845590661445E-2</v>
      </c>
      <c r="H140" s="4">
        <f>0.162*E140/100</f>
        <v>2.5596000000000001E-4</v>
      </c>
      <c r="I140" s="83">
        <v>0</v>
      </c>
      <c r="J140" s="21" t="s">
        <v>214</v>
      </c>
      <c r="K140" s="59">
        <f t="shared" si="13"/>
        <v>1.6200000000000001E-3</v>
      </c>
      <c r="L140" s="59">
        <f t="shared" si="16"/>
        <v>1.6200000000000001E-3</v>
      </c>
      <c r="M140" s="59">
        <f t="shared" si="17"/>
        <v>3.8420000000000003E-2</v>
      </c>
      <c r="N140" s="59">
        <v>1.5099999999999998E-3</v>
      </c>
      <c r="Q140" s="9"/>
      <c r="R140" s="9"/>
    </row>
    <row r="141" spans="4:18" x14ac:dyDescent="0.15">
      <c r="D141" s="20" t="s">
        <v>27</v>
      </c>
      <c r="E141" s="21">
        <v>0.158</v>
      </c>
      <c r="F141" s="22" t="s">
        <v>112</v>
      </c>
      <c r="G141" s="3">
        <f>AVERAGE(G139:G140)</f>
        <v>2.0338190170440244E-2</v>
      </c>
      <c r="H141" s="4">
        <f>SUM(H139:H140)</f>
        <v>7.2048000000000001E-4</v>
      </c>
      <c r="I141" s="83">
        <f>AVERAGE(I139:I140)</f>
        <v>0</v>
      </c>
      <c r="J141" s="21" t="s">
        <v>215</v>
      </c>
      <c r="K141" s="22">
        <f t="shared" si="13"/>
        <v>4.5599999999999998E-3</v>
      </c>
      <c r="L141" s="22">
        <f t="shared" si="16"/>
        <v>4.5599999999999998E-3</v>
      </c>
      <c r="M141" s="22">
        <f t="shared" si="17"/>
        <v>3.739E-2</v>
      </c>
      <c r="O141" s="22"/>
      <c r="Q141" s="22"/>
      <c r="R141" s="9"/>
    </row>
    <row r="142" spans="4:18" x14ac:dyDescent="0.15">
      <c r="D142" s="20" t="s">
        <v>28</v>
      </c>
      <c r="E142" s="21">
        <v>2.6230000000000002</v>
      </c>
      <c r="F142" s="43" t="s">
        <v>33</v>
      </c>
      <c r="G142" s="3">
        <f>3.62*E142^(0.33)/100</f>
        <v>4.9763624734646267E-2</v>
      </c>
      <c r="H142" s="4">
        <f>0.278*E142/100</f>
        <v>7.2919400000000011E-3</v>
      </c>
      <c r="I142" s="83">
        <v>0</v>
      </c>
      <c r="J142" s="21" t="s">
        <v>216</v>
      </c>
      <c r="K142" s="43">
        <f t="shared" si="13"/>
        <v>2.7800000000000004E-3</v>
      </c>
      <c r="L142" s="43">
        <f t="shared" si="16"/>
        <v>2.7800000000000004E-3</v>
      </c>
      <c r="M142" s="43">
        <f t="shared" si="17"/>
        <v>3.6200000000000003E-2</v>
      </c>
      <c r="O142" s="22"/>
      <c r="Q142" s="9"/>
      <c r="R142" s="9"/>
    </row>
    <row r="143" spans="4:18" x14ac:dyDescent="0.15">
      <c r="D143" s="20" t="s">
        <v>28</v>
      </c>
      <c r="E143" s="21">
        <v>2.6230000000000002</v>
      </c>
      <c r="F143" s="59" t="s">
        <v>34</v>
      </c>
      <c r="G143" s="3">
        <f>3.492*E143^(0.33)/100</f>
        <v>4.800402695397369E-2</v>
      </c>
      <c r="H143" s="4">
        <f>0.151*E143/100</f>
        <v>3.96073E-3</v>
      </c>
      <c r="I143" s="83">
        <v>0</v>
      </c>
      <c r="J143" s="21" t="s">
        <v>217</v>
      </c>
      <c r="K143" s="59">
        <f t="shared" si="13"/>
        <v>1.5099999999999998E-3</v>
      </c>
      <c r="L143" s="59">
        <f t="shared" si="16"/>
        <v>1.5099999999999998E-3</v>
      </c>
      <c r="M143" s="59">
        <f t="shared" si="17"/>
        <v>3.492E-2</v>
      </c>
      <c r="Q143" s="9"/>
      <c r="R143" s="9"/>
    </row>
    <row r="144" spans="4:18" x14ac:dyDescent="0.15">
      <c r="D144" s="20" t="s">
        <v>28</v>
      </c>
      <c r="E144" s="21">
        <v>2.6230000000000002</v>
      </c>
      <c r="F144" s="22" t="s">
        <v>112</v>
      </c>
      <c r="G144" s="3">
        <f>AVERAGE(G142:G143)</f>
        <v>4.8883825844309975E-2</v>
      </c>
      <c r="H144" s="4">
        <f>SUM(H142:H143)</f>
        <v>1.1252670000000001E-2</v>
      </c>
      <c r="I144" s="83">
        <f>AVERAGE(I142:I143)</f>
        <v>0</v>
      </c>
      <c r="J144" s="21" t="s">
        <v>218</v>
      </c>
      <c r="K144" s="22">
        <f t="shared" si="13"/>
        <v>4.2900000000000004E-3</v>
      </c>
      <c r="L144" s="22">
        <f t="shared" si="16"/>
        <v>4.2900000000000004E-3</v>
      </c>
      <c r="M144" s="22">
        <f t="shared" si="17"/>
        <v>3.5560000000000001E-2</v>
      </c>
      <c r="Q144" s="22"/>
      <c r="R144" s="9"/>
    </row>
    <row r="145" spans="1:25" x14ac:dyDescent="0.15">
      <c r="D145" s="20" t="s">
        <v>41</v>
      </c>
      <c r="E145" s="21">
        <v>9.7070000000000004E-2</v>
      </c>
      <c r="F145" s="22" t="s">
        <v>30</v>
      </c>
      <c r="G145" s="3">
        <v>8.2550000000000002E-3</v>
      </c>
      <c r="H145" s="4">
        <f>0.0966/1000</f>
        <v>9.6600000000000003E-5</v>
      </c>
      <c r="I145" s="83">
        <v>0</v>
      </c>
      <c r="J145" s="28" t="s">
        <v>43</v>
      </c>
      <c r="K145" s="21">
        <f t="shared" si="13"/>
        <v>9.9515813330586169E-4</v>
      </c>
      <c r="L145" s="21">
        <f t="shared" si="16"/>
        <v>9.9515813330586169E-4</v>
      </c>
      <c r="M145" s="21">
        <f t="shared" si="17"/>
        <v>1.782292657020253E-2</v>
      </c>
      <c r="Q145" s="22"/>
      <c r="R145" s="9"/>
    </row>
    <row r="146" spans="1:25" x14ac:dyDescent="0.15">
      <c r="D146" s="20" t="s">
        <v>41</v>
      </c>
      <c r="E146" s="21">
        <v>0.10265000000000001</v>
      </c>
      <c r="F146" s="22" t="s">
        <v>30</v>
      </c>
      <c r="G146" s="3">
        <v>9.8460000000000006E-3</v>
      </c>
      <c r="H146" s="4">
        <v>1.838E-4</v>
      </c>
      <c r="I146" s="83">
        <v>0</v>
      </c>
      <c r="J146" s="28" t="s">
        <v>43</v>
      </c>
      <c r="K146" s="21">
        <f t="shared" si="13"/>
        <v>1.7905504140282513E-3</v>
      </c>
      <c r="L146" s="21">
        <f t="shared" si="16"/>
        <v>1.7905504140282513E-3</v>
      </c>
      <c r="M146" s="21">
        <f t="shared" si="17"/>
        <v>2.0869467925455919E-2</v>
      </c>
      <c r="Q146" s="22"/>
      <c r="R146" s="9"/>
    </row>
    <row r="147" spans="1:25" x14ac:dyDescent="0.15">
      <c r="D147" s="20" t="s">
        <v>42</v>
      </c>
      <c r="E147" s="21">
        <v>5.7000000000000002E-2</v>
      </c>
      <c r="F147" s="22" t="s">
        <v>30</v>
      </c>
      <c r="G147" s="3">
        <v>6.143E-3</v>
      </c>
      <c r="H147" s="4">
        <v>4.8199999999999999E-5</v>
      </c>
      <c r="I147" s="83">
        <v>0</v>
      </c>
      <c r="J147" s="28" t="s">
        <v>43</v>
      </c>
      <c r="K147" s="21">
        <f t="shared" si="13"/>
        <v>8.4561403508771925E-4</v>
      </c>
      <c r="L147" s="21">
        <f t="shared" si="16"/>
        <v>8.4561403508771925E-4</v>
      </c>
      <c r="M147" s="21">
        <f t="shared" si="17"/>
        <v>1.5810361968387938E-2</v>
      </c>
    </row>
    <row r="148" spans="1:25" x14ac:dyDescent="0.15">
      <c r="D148" s="20" t="s">
        <v>42</v>
      </c>
      <c r="E148" s="21">
        <v>5.1700000000000003E-2</v>
      </c>
      <c r="F148" s="22" t="s">
        <v>30</v>
      </c>
      <c r="G148" s="3">
        <v>5.032E-3</v>
      </c>
      <c r="H148" s="4">
        <v>4.6499999999999999E-5</v>
      </c>
      <c r="I148" s="83">
        <v>0</v>
      </c>
      <c r="J148" s="28" t="s">
        <v>43</v>
      </c>
      <c r="K148" s="21">
        <f t="shared" si="13"/>
        <v>8.9941972920696319E-4</v>
      </c>
      <c r="L148" s="21">
        <f t="shared" si="16"/>
        <v>8.9941972920696319E-4</v>
      </c>
      <c r="M148" s="21">
        <f t="shared" si="17"/>
        <v>1.3374844861337968E-2</v>
      </c>
    </row>
    <row r="149" spans="1:25" x14ac:dyDescent="0.15">
      <c r="A149" s="10"/>
      <c r="D149" s="18" t="s">
        <v>111</v>
      </c>
      <c r="E149" s="21">
        <v>0.89984193999999995</v>
      </c>
      <c r="F149" s="22" t="s">
        <v>30</v>
      </c>
      <c r="H149" s="71">
        <v>1.6418011400000001E-3</v>
      </c>
      <c r="I149" s="85">
        <f>AVERAGE(I112:I148)</f>
        <v>5.8614864999999998</v>
      </c>
      <c r="J149" s="21" t="s">
        <v>206</v>
      </c>
      <c r="K149" s="29">
        <f t="shared" si="13"/>
        <v>1.8150046349107482E-3</v>
      </c>
      <c r="L149" s="29">
        <f t="shared" si="16"/>
        <v>1.8245439193465469E-3</v>
      </c>
    </row>
    <row r="150" spans="1:25" x14ac:dyDescent="0.15">
      <c r="D150" s="18"/>
      <c r="I150" s="85"/>
      <c r="K150" s="21"/>
      <c r="L150" s="21"/>
      <c r="M150" s="21"/>
    </row>
    <row r="151" spans="1:25" x14ac:dyDescent="0.15">
      <c r="I151" s="85"/>
      <c r="U151" s="60"/>
      <c r="V151" s="9"/>
      <c r="W151" s="9"/>
      <c r="X151" s="9"/>
      <c r="Y151" s="9"/>
    </row>
    <row r="152" spans="1:25" x14ac:dyDescent="0.15">
      <c r="A152" s="47" t="s">
        <v>0</v>
      </c>
      <c r="B152" s="48" t="s">
        <v>54</v>
      </c>
      <c r="C152" s="48" t="s">
        <v>55</v>
      </c>
      <c r="D152" s="20" t="s">
        <v>8</v>
      </c>
      <c r="E152" s="21">
        <v>17.100000000000001</v>
      </c>
      <c r="F152" s="22" t="s">
        <v>9</v>
      </c>
      <c r="G152" s="3">
        <v>6.5500000000000003E-2</v>
      </c>
      <c r="H152" s="4">
        <v>5.2399999999999999E-3</v>
      </c>
      <c r="I152" s="83">
        <v>0</v>
      </c>
      <c r="J152" s="1" t="s">
        <v>223</v>
      </c>
      <c r="K152" s="22">
        <f t="shared" ref="K152:K196" si="18">H152*COS(RADIANS(I152))/E152</f>
        <v>3.0643274853801167E-4</v>
      </c>
      <c r="L152" s="22">
        <f t="shared" si="16"/>
        <v>3.0643274853801167E-4</v>
      </c>
      <c r="M152" s="22">
        <f t="shared" ref="M152:M179" si="19">G152/(E152^0.33)</f>
        <v>2.56656686761794E-2</v>
      </c>
      <c r="N152" s="22">
        <v>3.0643274853801167E-4</v>
      </c>
      <c r="U152" s="60"/>
      <c r="V152" s="9"/>
      <c r="W152" s="9"/>
      <c r="X152" s="9"/>
      <c r="Y152" s="9"/>
    </row>
    <row r="153" spans="1:25" x14ac:dyDescent="0.15">
      <c r="D153" s="20" t="s">
        <v>8</v>
      </c>
      <c r="E153" s="21">
        <v>17.100000000000001</v>
      </c>
      <c r="F153" s="23" t="s">
        <v>16</v>
      </c>
      <c r="G153" s="3">
        <v>4.6714285714285715E-2</v>
      </c>
      <c r="H153" s="4">
        <v>3.4110000000000001E-2</v>
      </c>
      <c r="I153" s="83">
        <v>32.666666666666664</v>
      </c>
      <c r="J153" s="1" t="s">
        <v>223</v>
      </c>
      <c r="K153" s="22">
        <f t="shared" si="18"/>
        <v>1.6792192196189608E-3</v>
      </c>
      <c r="L153" s="22">
        <f t="shared" si="16"/>
        <v>1.9947368421052631E-3</v>
      </c>
      <c r="M153" s="22">
        <f t="shared" si="19"/>
        <v>1.8304631749423476E-2</v>
      </c>
      <c r="N153" s="22">
        <v>1.8866666666666665E-4</v>
      </c>
      <c r="U153" s="60"/>
      <c r="V153" s="98"/>
      <c r="W153" s="98"/>
      <c r="X153" s="98"/>
      <c r="Y153" s="98"/>
    </row>
    <row r="154" spans="1:25" x14ac:dyDescent="0.15">
      <c r="D154" s="20" t="s">
        <v>8</v>
      </c>
      <c r="E154" s="21">
        <v>17.100000000000001</v>
      </c>
      <c r="F154" s="23" t="s">
        <v>17</v>
      </c>
      <c r="G154" s="3">
        <v>4.1555555555555561E-2</v>
      </c>
      <c r="H154" s="4">
        <v>7.6299999999999996E-3</v>
      </c>
      <c r="I154" s="83">
        <v>21</v>
      </c>
      <c r="J154" s="1" t="s">
        <v>223</v>
      </c>
      <c r="K154" s="22">
        <f t="shared" si="18"/>
        <v>4.1656249439611979E-4</v>
      </c>
      <c r="L154" s="22">
        <f t="shared" si="16"/>
        <v>4.4619883040935665E-4</v>
      </c>
      <c r="M154" s="22">
        <f t="shared" si="19"/>
        <v>1.6283223214403897E-2</v>
      </c>
      <c r="N154" s="22">
        <v>2.3278850916295195E-4</v>
      </c>
      <c r="U154" s="60"/>
      <c r="V154" s="9"/>
      <c r="W154" s="9"/>
      <c r="X154" s="9"/>
      <c r="Y154" s="9"/>
    </row>
    <row r="155" spans="1:25" x14ac:dyDescent="0.15">
      <c r="D155" s="20" t="s">
        <v>8</v>
      </c>
      <c r="E155" s="21">
        <v>17.100000000000001</v>
      </c>
      <c r="F155" s="23" t="s">
        <v>29</v>
      </c>
      <c r="G155" s="3">
        <f>AVERAGE(G152:G154)</f>
        <v>5.1256613756613757E-2</v>
      </c>
      <c r="H155" s="4">
        <f>SUM(H152:H154)</f>
        <v>4.6980000000000001E-2</v>
      </c>
      <c r="I155" s="83">
        <f>AVERAGE(I152:I154)</f>
        <v>17.888888888888889</v>
      </c>
      <c r="J155" s="1" t="s">
        <v>223</v>
      </c>
      <c r="K155" s="24">
        <f t="shared" si="18"/>
        <v>2.614544120617384E-3</v>
      </c>
      <c r="L155" s="24">
        <f t="shared" si="16"/>
        <v>2.7473684210526316E-3</v>
      </c>
      <c r="M155" s="24">
        <f t="shared" si="19"/>
        <v>2.0084507880002257E-2</v>
      </c>
      <c r="N155" s="22">
        <v>2.2924187725631767E-4</v>
      </c>
      <c r="R155" s="9"/>
      <c r="U155" s="60"/>
      <c r="V155" s="9"/>
      <c r="W155" s="9"/>
      <c r="X155" s="9"/>
      <c r="Y155" s="9"/>
    </row>
    <row r="156" spans="1:25" x14ac:dyDescent="0.15">
      <c r="D156" s="20" t="s">
        <v>11</v>
      </c>
      <c r="E156" s="21">
        <v>90</v>
      </c>
      <c r="F156" s="22" t="s">
        <v>9</v>
      </c>
      <c r="G156" s="3">
        <v>9.2499999999999999E-2</v>
      </c>
      <c r="H156" s="4">
        <v>1.6979999999999999E-2</v>
      </c>
      <c r="I156" s="83">
        <v>0</v>
      </c>
      <c r="J156" s="1" t="s">
        <v>223</v>
      </c>
      <c r="K156" s="22">
        <f t="shared" si="18"/>
        <v>1.8866666666666665E-4</v>
      </c>
      <c r="L156" s="22">
        <f t="shared" si="16"/>
        <v>1.8866666666666665E-4</v>
      </c>
      <c r="M156" s="22">
        <f t="shared" si="19"/>
        <v>2.0952782490182006E-2</v>
      </c>
      <c r="N156" s="27">
        <v>1.1294964028776978E-4</v>
      </c>
      <c r="R156" s="9"/>
      <c r="U156" s="60"/>
      <c r="V156" s="9"/>
      <c r="W156" s="9"/>
      <c r="X156" s="9"/>
      <c r="Y156" s="9"/>
    </row>
    <row r="157" spans="1:25" x14ac:dyDescent="0.15">
      <c r="D157" s="20" t="s">
        <v>11</v>
      </c>
      <c r="E157" s="21">
        <v>90</v>
      </c>
      <c r="F157" s="23" t="s">
        <v>16</v>
      </c>
      <c r="G157" s="3">
        <v>6.6833333333333328E-2</v>
      </c>
      <c r="H157" s="4">
        <v>9.6329999999999999E-2</v>
      </c>
      <c r="I157" s="83">
        <v>19.166666666666668</v>
      </c>
      <c r="J157" s="1" t="s">
        <v>223</v>
      </c>
      <c r="K157" s="22">
        <f t="shared" si="18"/>
        <v>1.0110021207220929E-3</v>
      </c>
      <c r="L157" s="22">
        <f t="shared" si="16"/>
        <v>1.0703333333333333E-3</v>
      </c>
      <c r="M157" s="22">
        <f t="shared" si="19"/>
        <v>1.5138857258672042E-2</v>
      </c>
      <c r="N157" s="27">
        <v>3.4324675324675323E-4</v>
      </c>
      <c r="R157" s="9"/>
    </row>
    <row r="158" spans="1:25" x14ac:dyDescent="0.15">
      <c r="D158" s="20" t="s">
        <v>11</v>
      </c>
      <c r="E158" s="21">
        <v>90</v>
      </c>
      <c r="F158" s="23" t="s">
        <v>17</v>
      </c>
      <c r="G158" s="3">
        <v>5.8000000000000003E-2</v>
      </c>
      <c r="H158" s="4">
        <v>9.7099999999999999E-3</v>
      </c>
      <c r="I158" s="83">
        <v>12.5</v>
      </c>
      <c r="J158" s="1" t="s">
        <v>223</v>
      </c>
      <c r="K158" s="22">
        <f t="shared" si="18"/>
        <v>1.0533149143482836E-4</v>
      </c>
      <c r="L158" s="22">
        <f t="shared" si="16"/>
        <v>1.0788888888888889E-4</v>
      </c>
      <c r="M158" s="22">
        <f t="shared" si="19"/>
        <v>1.3137960912762772E-2</v>
      </c>
      <c r="N158" s="22">
        <v>2.5883783783783783E-4</v>
      </c>
      <c r="R158" s="9"/>
    </row>
    <row r="159" spans="1:25" x14ac:dyDescent="0.15">
      <c r="D159" s="20" t="s">
        <v>11</v>
      </c>
      <c r="E159" s="21">
        <v>90</v>
      </c>
      <c r="F159" s="23" t="s">
        <v>29</v>
      </c>
      <c r="G159" s="3">
        <f>AVERAGE(G156:G158)</f>
        <v>7.2444444444444436E-2</v>
      </c>
      <c r="H159" s="4">
        <f>SUM(H156:H158)</f>
        <v>0.12301999999999999</v>
      </c>
      <c r="I159" s="83">
        <f>AVERAGE(I156:I158)</f>
        <v>10.555555555555555</v>
      </c>
      <c r="J159" s="1" t="s">
        <v>223</v>
      </c>
      <c r="K159" s="24">
        <f t="shared" si="18"/>
        <v>1.3437580463123136E-3</v>
      </c>
      <c r="L159" s="24">
        <f t="shared" si="16"/>
        <v>1.3668888888888888E-3</v>
      </c>
      <c r="M159" s="24">
        <f t="shared" si="19"/>
        <v>1.6409866887205606E-2</v>
      </c>
      <c r="N159" s="22">
        <v>1.6792192196189608E-3</v>
      </c>
      <c r="R159" s="9"/>
    </row>
    <row r="160" spans="1:25" x14ac:dyDescent="0.15">
      <c r="D160" s="20" t="s">
        <v>12</v>
      </c>
      <c r="E160" s="21">
        <v>20.190000000000001</v>
      </c>
      <c r="F160" s="22" t="s">
        <v>9</v>
      </c>
      <c r="G160" s="3">
        <v>6.5420000000000006E-2</v>
      </c>
      <c r="H160" s="4">
        <v>4.7000000000000002E-3</v>
      </c>
      <c r="I160" s="84">
        <v>0</v>
      </c>
      <c r="J160" s="1" t="s">
        <v>223</v>
      </c>
      <c r="K160" s="22">
        <f t="shared" si="18"/>
        <v>2.3278850916295195E-4</v>
      </c>
      <c r="L160" s="22">
        <f t="shared" si="16"/>
        <v>2.3278850916295195E-4</v>
      </c>
      <c r="M160" s="22">
        <f t="shared" si="19"/>
        <v>2.4266970072477322E-2</v>
      </c>
      <c r="N160" s="22">
        <v>1.0110021207220929E-3</v>
      </c>
      <c r="R160" s="9"/>
    </row>
    <row r="161" spans="4:18" x14ac:dyDescent="0.15">
      <c r="D161" s="20" t="s">
        <v>12</v>
      </c>
      <c r="E161" s="21">
        <v>20.190000000000001</v>
      </c>
      <c r="F161" s="23" t="s">
        <v>16</v>
      </c>
      <c r="G161" s="3">
        <v>1.5059999999999999E-2</v>
      </c>
      <c r="H161" s="4">
        <v>2.1999999999999999E-2</v>
      </c>
      <c r="I161" s="84">
        <v>16.600000000000001</v>
      </c>
      <c r="J161" s="1" t="s">
        <v>223</v>
      </c>
      <c r="K161" s="22">
        <f t="shared" si="18"/>
        <v>1.044234603181423E-3</v>
      </c>
      <c r="L161" s="22">
        <f t="shared" si="16"/>
        <v>1.0896483407627537E-3</v>
      </c>
      <c r="M161" s="22">
        <f t="shared" si="19"/>
        <v>5.586373728087869E-3</v>
      </c>
      <c r="N161" s="22">
        <v>1.044234603181423E-3</v>
      </c>
      <c r="R161" s="9"/>
    </row>
    <row r="162" spans="4:18" x14ac:dyDescent="0.15">
      <c r="D162" s="20" t="s">
        <v>12</v>
      </c>
      <c r="E162" s="21">
        <v>20.190000000000001</v>
      </c>
      <c r="F162" s="23" t="s">
        <v>17</v>
      </c>
      <c r="G162" s="3">
        <v>1.3920000000000002E-2</v>
      </c>
      <c r="H162" s="4">
        <v>8.2000000000000007E-3</v>
      </c>
      <c r="I162" s="84">
        <v>21.2</v>
      </c>
      <c r="J162" s="1" t="s">
        <v>223</v>
      </c>
      <c r="K162" s="22">
        <f t="shared" si="18"/>
        <v>3.7865553095429419E-4</v>
      </c>
      <c r="L162" s="22">
        <f t="shared" si="16"/>
        <v>4.0614165428429916E-4</v>
      </c>
      <c r="M162" s="22">
        <f t="shared" si="19"/>
        <v>5.1635008163999439E-3</v>
      </c>
      <c r="N162" s="22">
        <v>1.9640490795656026E-3</v>
      </c>
      <c r="R162" s="9"/>
    </row>
    <row r="163" spans="4:18" x14ac:dyDescent="0.15">
      <c r="D163" s="20" t="s">
        <v>12</v>
      </c>
      <c r="E163" s="21">
        <v>20.190000000000001</v>
      </c>
      <c r="F163" s="23" t="s">
        <v>29</v>
      </c>
      <c r="G163" s="3">
        <f>AVERAGE(G160:G162)</f>
        <v>3.1466666666666671E-2</v>
      </c>
      <c r="H163" s="4">
        <f>SUM(H160:H162)</f>
        <v>3.49E-2</v>
      </c>
      <c r="I163" s="83">
        <f>AVERAGE(I160:I162)</f>
        <v>12.6</v>
      </c>
      <c r="J163" s="1" t="s">
        <v>223</v>
      </c>
      <c r="K163" s="24">
        <f t="shared" si="18"/>
        <v>1.6869487365855512E-3</v>
      </c>
      <c r="L163" s="24">
        <f t="shared" si="16"/>
        <v>1.7285785042100048E-3</v>
      </c>
      <c r="M163" s="24">
        <f t="shared" si="19"/>
        <v>1.1672281538988378E-2</v>
      </c>
      <c r="N163" s="22">
        <v>7.4860072948484512E-4</v>
      </c>
      <c r="R163" s="9"/>
    </row>
    <row r="164" spans="4:18" x14ac:dyDescent="0.15">
      <c r="D164" s="20" t="s">
        <v>13</v>
      </c>
      <c r="E164" s="21">
        <v>27.7</v>
      </c>
      <c r="F164" s="22" t="s">
        <v>9</v>
      </c>
      <c r="G164" s="3">
        <v>0.1</v>
      </c>
      <c r="H164" s="4">
        <v>6.3499999999999997E-3</v>
      </c>
      <c r="I164" s="83">
        <v>0</v>
      </c>
      <c r="J164" s="1" t="s">
        <v>223</v>
      </c>
      <c r="K164" s="22">
        <f t="shared" si="18"/>
        <v>2.2924187725631767E-4</v>
      </c>
      <c r="L164" s="22">
        <f t="shared" si="16"/>
        <v>2.2924187725631767E-4</v>
      </c>
      <c r="M164" s="22">
        <f t="shared" si="19"/>
        <v>3.3418093993682702E-2</v>
      </c>
      <c r="N164" s="22">
        <v>1.6911297898087069E-3</v>
      </c>
      <c r="R164" s="9"/>
    </row>
    <row r="165" spans="4:18" x14ac:dyDescent="0.15">
      <c r="D165" s="20" t="s">
        <v>13</v>
      </c>
      <c r="E165" s="21">
        <v>27.7</v>
      </c>
      <c r="F165" s="23" t="s">
        <v>16</v>
      </c>
      <c r="G165" s="3">
        <v>5.7500000000000002E-2</v>
      </c>
      <c r="H165" s="4">
        <v>5.5469999999999998E-2</v>
      </c>
      <c r="I165" s="83">
        <v>11.25</v>
      </c>
      <c r="J165" s="1" t="s">
        <v>223</v>
      </c>
      <c r="K165" s="22">
        <f t="shared" si="18"/>
        <v>1.9640490795656026E-3</v>
      </c>
      <c r="L165" s="22">
        <f t="shared" si="16"/>
        <v>2.0025270758122745E-3</v>
      </c>
      <c r="M165" s="22">
        <f t="shared" si="19"/>
        <v>1.9215404046367554E-2</v>
      </c>
      <c r="N165" s="22">
        <v>1.4211777230798055E-3</v>
      </c>
      <c r="R165" s="9"/>
    </row>
    <row r="166" spans="4:18" x14ac:dyDescent="0.15">
      <c r="D166" s="20" t="s">
        <v>13</v>
      </c>
      <c r="E166" s="21">
        <v>27.7</v>
      </c>
      <c r="F166" s="23" t="s">
        <v>17</v>
      </c>
      <c r="G166" s="3">
        <v>5.2000000000000005E-2</v>
      </c>
      <c r="H166" s="4">
        <v>9.6299999999999997E-3</v>
      </c>
      <c r="I166" s="83">
        <v>31</v>
      </c>
      <c r="J166" s="1" t="s">
        <v>223</v>
      </c>
      <c r="K166" s="22">
        <f t="shared" si="18"/>
        <v>2.9799715183253942E-4</v>
      </c>
      <c r="L166" s="22">
        <f t="shared" si="16"/>
        <v>3.4765342960288811E-4</v>
      </c>
      <c r="M166" s="22">
        <f t="shared" si="19"/>
        <v>1.7377408876715007E-2</v>
      </c>
      <c r="N166" s="22">
        <v>4.1656249439611979E-4</v>
      </c>
      <c r="R166" s="9"/>
    </row>
    <row r="167" spans="4:18" x14ac:dyDescent="0.15">
      <c r="D167" s="20" t="s">
        <v>13</v>
      </c>
      <c r="E167" s="21">
        <v>27.7</v>
      </c>
      <c r="F167" s="23" t="s">
        <v>29</v>
      </c>
      <c r="G167" s="3">
        <f>AVERAGE(G164:G166)</f>
        <v>6.9833333333333344E-2</v>
      </c>
      <c r="H167" s="4">
        <f>SUM(H164:H166)</f>
        <v>7.145E-2</v>
      </c>
      <c r="I167" s="83">
        <f>AVERAGE(I164:I166)</f>
        <v>14.083333333333334</v>
      </c>
      <c r="J167" s="1" t="s">
        <v>223</v>
      </c>
      <c r="K167" s="24">
        <f t="shared" si="18"/>
        <v>2.5018922687893366E-3</v>
      </c>
      <c r="L167" s="24">
        <f t="shared" si="16"/>
        <v>2.5794223826714801E-3</v>
      </c>
      <c r="M167" s="24">
        <f t="shared" si="19"/>
        <v>2.3336968972255089E-2</v>
      </c>
      <c r="N167" s="22">
        <v>1.0533149143482836E-4</v>
      </c>
      <c r="R167" s="9"/>
    </row>
    <row r="168" spans="4:18" x14ac:dyDescent="0.15">
      <c r="D168" s="26" t="s">
        <v>14</v>
      </c>
      <c r="E168" s="25">
        <v>278</v>
      </c>
      <c r="F168" s="22" t="s">
        <v>9</v>
      </c>
      <c r="G168" s="6">
        <v>0.151</v>
      </c>
      <c r="H168" s="7">
        <v>3.1399999999999997E-2</v>
      </c>
      <c r="I168" s="88">
        <v>0</v>
      </c>
      <c r="J168" s="1" t="s">
        <v>223</v>
      </c>
      <c r="K168" s="27">
        <f t="shared" si="18"/>
        <v>1.1294964028776978E-4</v>
      </c>
      <c r="L168" s="27">
        <f t="shared" si="16"/>
        <v>1.1294964028776978E-4</v>
      </c>
      <c r="M168" s="27">
        <f t="shared" si="19"/>
        <v>2.3574482317013375E-2</v>
      </c>
      <c r="N168" s="22">
        <v>3.7865553095429419E-4</v>
      </c>
      <c r="R168" s="9"/>
    </row>
    <row r="169" spans="4:18" x14ac:dyDescent="0.15">
      <c r="D169" s="26" t="s">
        <v>14</v>
      </c>
      <c r="E169" s="25">
        <v>278</v>
      </c>
      <c r="F169" s="23" t="s">
        <v>16</v>
      </c>
      <c r="G169" s="3">
        <v>7.3999999999999996E-2</v>
      </c>
      <c r="H169" s="4">
        <v>0.24540000000000001</v>
      </c>
      <c r="I169" s="83">
        <v>32</v>
      </c>
      <c r="J169" s="1" t="s">
        <v>223</v>
      </c>
      <c r="K169" s="22">
        <f t="shared" si="18"/>
        <v>7.4860072948484512E-4</v>
      </c>
      <c r="L169" s="22">
        <f t="shared" si="16"/>
        <v>8.8273381294964035E-4</v>
      </c>
      <c r="M169" s="22">
        <f t="shared" si="19"/>
        <v>1.1553057559331057E-2</v>
      </c>
      <c r="N169" s="22">
        <v>2.9799715183253942E-4</v>
      </c>
      <c r="R169" s="9"/>
    </row>
    <row r="170" spans="4:18" x14ac:dyDescent="0.15">
      <c r="D170" s="26" t="s">
        <v>14</v>
      </c>
      <c r="E170" s="25">
        <v>278</v>
      </c>
      <c r="F170" s="23" t="s">
        <v>17</v>
      </c>
      <c r="G170" s="3">
        <v>7.5999999999999998E-2</v>
      </c>
      <c r="H170" s="4">
        <v>6.7799999999999999E-2</v>
      </c>
      <c r="I170" s="83">
        <v>20</v>
      </c>
      <c r="J170" s="1" t="s">
        <v>223</v>
      </c>
      <c r="K170" s="22">
        <f t="shared" si="18"/>
        <v>2.2917683341469277E-4</v>
      </c>
      <c r="L170" s="22">
        <f t="shared" si="16"/>
        <v>2.4388489208633092E-4</v>
      </c>
      <c r="M170" s="22">
        <f t="shared" si="19"/>
        <v>1.1865302358231897E-2</v>
      </c>
      <c r="N170" s="22">
        <v>2.2917683341469277E-4</v>
      </c>
      <c r="R170" s="9"/>
    </row>
    <row r="171" spans="4:18" x14ac:dyDescent="0.15">
      <c r="D171" s="26" t="s">
        <v>14</v>
      </c>
      <c r="E171" s="25">
        <v>278</v>
      </c>
      <c r="F171" s="23" t="s">
        <v>29</v>
      </c>
      <c r="G171" s="3">
        <f>AVERAGE(G168:G170)</f>
        <v>0.10033333333333333</v>
      </c>
      <c r="H171" s="4">
        <f>SUM(H168:H170)</f>
        <v>0.34460000000000002</v>
      </c>
      <c r="I171" s="83">
        <f>AVERAGE(I168:I170)</f>
        <v>17.333333333333332</v>
      </c>
      <c r="J171" s="1" t="s">
        <v>223</v>
      </c>
      <c r="K171" s="24">
        <f t="shared" si="18"/>
        <v>1.183276611771829E-3</v>
      </c>
      <c r="L171" s="24">
        <f t="shared" si="16"/>
        <v>1.2395683453237411E-3</v>
      </c>
      <c r="M171" s="24">
        <f t="shared" si="19"/>
        <v>1.5664280744858775E-2</v>
      </c>
      <c r="N171" s="22">
        <v>3.8181818181818179E-4</v>
      </c>
      <c r="R171" s="9"/>
    </row>
    <row r="172" spans="4:18" x14ac:dyDescent="0.15">
      <c r="D172" s="26" t="s">
        <v>15</v>
      </c>
      <c r="E172" s="25">
        <v>7.7</v>
      </c>
      <c r="F172" s="22" t="s">
        <v>9</v>
      </c>
      <c r="G172" s="6">
        <v>3.3799999999999997E-2</v>
      </c>
      <c r="H172" s="7">
        <v>2.643E-3</v>
      </c>
      <c r="I172" s="88">
        <v>0</v>
      </c>
      <c r="J172" s="1" t="s">
        <v>223</v>
      </c>
      <c r="K172" s="27">
        <f t="shared" si="18"/>
        <v>3.4324675324675323E-4</v>
      </c>
      <c r="L172" s="27">
        <f t="shared" si="16"/>
        <v>3.4324675324675323E-4</v>
      </c>
      <c r="M172" s="27">
        <f t="shared" si="19"/>
        <v>1.7233550493985984E-2</v>
      </c>
      <c r="N172" s="22">
        <v>2.1424738843487596E-4</v>
      </c>
      <c r="R172" s="9"/>
    </row>
    <row r="173" spans="4:18" x14ac:dyDescent="0.15">
      <c r="D173" s="26" t="s">
        <v>15</v>
      </c>
      <c r="E173" s="25">
        <v>7.7</v>
      </c>
      <c r="F173" s="23" t="s">
        <v>16</v>
      </c>
      <c r="G173" s="3">
        <v>3.9199999999999999E-2</v>
      </c>
      <c r="H173" s="4">
        <v>1.4794E-2</v>
      </c>
      <c r="I173" s="83">
        <v>28.333333329999999</v>
      </c>
      <c r="J173" s="1" t="s">
        <v>223</v>
      </c>
      <c r="K173" s="22">
        <f t="shared" si="18"/>
        <v>1.6911297898087069E-3</v>
      </c>
      <c r="L173" s="22">
        <f t="shared" si="16"/>
        <v>1.9212987012987013E-3</v>
      </c>
      <c r="M173" s="22">
        <f t="shared" si="19"/>
        <v>1.9986839626161261E-2</v>
      </c>
      <c r="N173" s="24">
        <v>2.614544120617384E-3</v>
      </c>
    </row>
    <row r="174" spans="4:18" x14ac:dyDescent="0.15">
      <c r="D174" s="26" t="s">
        <v>15</v>
      </c>
      <c r="E174" s="25">
        <v>7.7</v>
      </c>
      <c r="F174" s="23" t="s">
        <v>17</v>
      </c>
      <c r="G174" s="3">
        <v>7.5714286000000006E-2</v>
      </c>
      <c r="H174" s="4">
        <v>2.9399999999999999E-3</v>
      </c>
      <c r="I174" s="83">
        <v>0</v>
      </c>
      <c r="J174" s="1" t="s">
        <v>223</v>
      </c>
      <c r="K174" s="22">
        <f t="shared" si="18"/>
        <v>3.8181818181818179E-4</v>
      </c>
      <c r="L174" s="22">
        <f t="shared" si="16"/>
        <v>3.8181818181818179E-4</v>
      </c>
      <c r="M174" s="22">
        <f t="shared" si="19"/>
        <v>3.8604318665594564E-2</v>
      </c>
      <c r="N174" s="24">
        <v>1.3437580463123136E-3</v>
      </c>
    </row>
    <row r="175" spans="4:18" x14ac:dyDescent="0.15">
      <c r="D175" s="26" t="s">
        <v>15</v>
      </c>
      <c r="E175" s="25">
        <v>7.7</v>
      </c>
      <c r="F175" s="23" t="s">
        <v>29</v>
      </c>
      <c r="G175" s="3">
        <f>AVERAGE(G172:G174)</f>
        <v>4.9571428666666667E-2</v>
      </c>
      <c r="H175" s="4">
        <f>SUM(H172:H174)</f>
        <v>2.0376999999999999E-2</v>
      </c>
      <c r="I175" s="83">
        <f>AVERAGE(I172:I174)</f>
        <v>9.4444444433333334</v>
      </c>
      <c r="J175" s="1" t="s">
        <v>223</v>
      </c>
      <c r="K175" s="24">
        <f t="shared" si="18"/>
        <v>2.6104926338986869E-3</v>
      </c>
      <c r="L175" s="24">
        <f t="shared" si="16"/>
        <v>2.6463636363636364E-3</v>
      </c>
      <c r="M175" s="24">
        <f t="shared" si="19"/>
        <v>2.5274902928580603E-2</v>
      </c>
      <c r="N175" s="24">
        <v>1.6869487365855512E-3</v>
      </c>
    </row>
    <row r="176" spans="4:18" x14ac:dyDescent="0.15">
      <c r="D176" s="20" t="s">
        <v>14</v>
      </c>
      <c r="E176" s="21">
        <v>3.7</v>
      </c>
      <c r="F176" s="22" t="s">
        <v>9</v>
      </c>
      <c r="G176" s="3">
        <v>5.4346999999999999E-2</v>
      </c>
      <c r="H176" s="4">
        <v>9.5770000000000002E-4</v>
      </c>
      <c r="I176" s="83">
        <v>0</v>
      </c>
      <c r="J176" s="1" t="s">
        <v>222</v>
      </c>
      <c r="K176" s="22">
        <f t="shared" si="18"/>
        <v>2.5883783783783783E-4</v>
      </c>
      <c r="L176" s="22">
        <f t="shared" si="16"/>
        <v>2.5883783783783783E-4</v>
      </c>
      <c r="M176" s="22">
        <f t="shared" si="19"/>
        <v>3.529140972531733E-2</v>
      </c>
      <c r="N176" s="24">
        <v>2.5018922687893366E-3</v>
      </c>
    </row>
    <row r="177" spans="4:14" x14ac:dyDescent="0.15">
      <c r="D177" s="20" t="s">
        <v>14</v>
      </c>
      <c r="E177" s="21">
        <v>3.7</v>
      </c>
      <c r="F177" s="23" t="s">
        <v>16</v>
      </c>
      <c r="G177" s="3">
        <v>3.7413000000000002E-2</v>
      </c>
      <c r="H177" s="4">
        <v>5.4795E-3</v>
      </c>
      <c r="I177" s="83">
        <v>16.33333</v>
      </c>
      <c r="J177" s="1" t="s">
        <v>222</v>
      </c>
      <c r="K177" s="22">
        <f t="shared" si="18"/>
        <v>1.4211777230798055E-3</v>
      </c>
      <c r="L177" s="22">
        <f t="shared" si="16"/>
        <v>1.4809459459459459E-3</v>
      </c>
      <c r="M177" s="22">
        <f t="shared" si="19"/>
        <v>2.4294947504982747E-2</v>
      </c>
      <c r="N177" s="24">
        <v>1.183276611771829E-3</v>
      </c>
    </row>
    <row r="178" spans="4:14" x14ac:dyDescent="0.15">
      <c r="D178" s="20" t="s">
        <v>14</v>
      </c>
      <c r="E178" s="21">
        <v>3.7</v>
      </c>
      <c r="F178" s="23" t="s">
        <v>17</v>
      </c>
      <c r="G178" s="3">
        <v>1.6330000000000001E-2</v>
      </c>
      <c r="H178" s="4">
        <v>9.123E-4</v>
      </c>
      <c r="I178" s="83">
        <v>29.66667</v>
      </c>
      <c r="J178" s="1" t="s">
        <v>222</v>
      </c>
      <c r="K178" s="22">
        <f t="shared" si="18"/>
        <v>2.1424738843487596E-4</v>
      </c>
      <c r="L178" s="22">
        <f t="shared" si="16"/>
        <v>2.4656756756756754E-4</v>
      </c>
      <c r="M178" s="22">
        <f t="shared" si="19"/>
        <v>1.0604241647458591E-2</v>
      </c>
      <c r="N178" s="24">
        <v>2.6104926338986869E-3</v>
      </c>
    </row>
    <row r="179" spans="4:14" x14ac:dyDescent="0.15">
      <c r="D179" s="20" t="s">
        <v>14</v>
      </c>
      <c r="E179" s="21">
        <v>3.7</v>
      </c>
      <c r="F179" s="23" t="s">
        <v>29</v>
      </c>
      <c r="G179" s="3">
        <f>AVERAGE(G176:G178)</f>
        <v>3.603E-2</v>
      </c>
      <c r="H179" s="4">
        <f>SUM(H176:H178)</f>
        <v>7.3495000000000001E-3</v>
      </c>
      <c r="I179" s="83">
        <f>AVERAGE(I176:I178)</f>
        <v>15.333333333333334</v>
      </c>
      <c r="J179" s="1" t="s">
        <v>222</v>
      </c>
      <c r="K179" s="24">
        <f t="shared" si="18"/>
        <v>1.9156446724256063E-3</v>
      </c>
      <c r="L179" s="24">
        <f t="shared" si="16"/>
        <v>1.9863513513513511E-3</v>
      </c>
      <c r="M179" s="24">
        <f t="shared" si="19"/>
        <v>2.3396866292586221E-2</v>
      </c>
      <c r="N179" s="24">
        <v>1.9156446724256063E-3</v>
      </c>
    </row>
    <row r="180" spans="4:14" x14ac:dyDescent="0.15">
      <c r="D180" s="20" t="s">
        <v>18</v>
      </c>
      <c r="E180" s="21">
        <v>8.9999999999999993E-3</v>
      </c>
      <c r="F180" s="21" t="s">
        <v>19</v>
      </c>
      <c r="G180" s="3" t="s">
        <v>35</v>
      </c>
      <c r="H180" s="4">
        <f>0.045*E180/100</f>
        <v>4.0500000000000002E-6</v>
      </c>
      <c r="I180" s="83">
        <v>0</v>
      </c>
      <c r="J180" s="21" t="s">
        <v>20</v>
      </c>
      <c r="K180" s="22">
        <f t="shared" si="18"/>
        <v>4.5000000000000004E-4</v>
      </c>
      <c r="L180" s="22">
        <f t="shared" si="16"/>
        <v>4.5000000000000004E-4</v>
      </c>
      <c r="M180" s="108">
        <v>0</v>
      </c>
    </row>
    <row r="181" spans="4:14" x14ac:dyDescent="0.15">
      <c r="D181" s="20" t="s">
        <v>21</v>
      </c>
      <c r="E181" s="21">
        <v>1.2999999999999999E-2</v>
      </c>
      <c r="F181" s="21" t="s">
        <v>19</v>
      </c>
      <c r="G181" s="3" t="s">
        <v>35</v>
      </c>
      <c r="H181" s="4">
        <f>0.064*E181/100</f>
        <v>8.32E-6</v>
      </c>
      <c r="I181" s="83">
        <v>0</v>
      </c>
      <c r="J181" s="28" t="s">
        <v>20</v>
      </c>
      <c r="K181" s="22">
        <f t="shared" si="18"/>
        <v>6.4000000000000005E-4</v>
      </c>
      <c r="L181" s="22">
        <f t="shared" si="16"/>
        <v>6.4000000000000005E-4</v>
      </c>
      <c r="M181" s="108">
        <v>0</v>
      </c>
    </row>
    <row r="182" spans="4:14" x14ac:dyDescent="0.15">
      <c r="D182" s="20" t="s">
        <v>22</v>
      </c>
      <c r="E182" s="21">
        <v>1.6E-2</v>
      </c>
      <c r="F182" s="21" t="s">
        <v>19</v>
      </c>
      <c r="G182" s="3" t="s">
        <v>35</v>
      </c>
      <c r="H182" s="4">
        <f>0.102*E182/100</f>
        <v>1.632E-5</v>
      </c>
      <c r="I182" s="83">
        <v>0</v>
      </c>
      <c r="J182" s="28" t="s">
        <v>20</v>
      </c>
      <c r="K182" s="22">
        <f t="shared" si="18"/>
        <v>1.0199999999999999E-3</v>
      </c>
      <c r="L182" s="22">
        <f t="shared" si="16"/>
        <v>1.0199999999999999E-3</v>
      </c>
      <c r="M182" s="108">
        <v>0</v>
      </c>
    </row>
    <row r="183" spans="4:14" x14ac:dyDescent="0.15">
      <c r="D183" s="20" t="s">
        <v>23</v>
      </c>
      <c r="E183" s="21">
        <v>0.443</v>
      </c>
      <c r="F183" s="21" t="s">
        <v>19</v>
      </c>
      <c r="G183" s="3">
        <f>3.384*E183^(0.33)/100</f>
        <v>2.5866852345192193E-2</v>
      </c>
      <c r="H183" s="4">
        <f>0.172*E183/100</f>
        <v>7.6196E-4</v>
      </c>
      <c r="I183" s="83">
        <v>2.8330000000000002</v>
      </c>
      <c r="J183" s="28" t="s">
        <v>20</v>
      </c>
      <c r="K183" s="22">
        <f t="shared" si="18"/>
        <v>1.7178978783142405E-3</v>
      </c>
      <c r="L183" s="22">
        <f t="shared" si="16"/>
        <v>1.72E-3</v>
      </c>
      <c r="M183" s="22">
        <f t="shared" ref="M183:M192" si="20">G183/(E183^0.33)</f>
        <v>3.3840000000000002E-2</v>
      </c>
    </row>
    <row r="184" spans="4:14" x14ac:dyDescent="0.15">
      <c r="D184" s="20" t="s">
        <v>24</v>
      </c>
      <c r="E184" s="21">
        <v>36.667000000000002</v>
      </c>
      <c r="F184" s="21" t="s">
        <v>19</v>
      </c>
      <c r="G184" s="3">
        <f>3.46*E184^(0.33)/100</f>
        <v>0.11357610575518211</v>
      </c>
      <c r="H184" s="4">
        <f>0.132*E184/100</f>
        <v>4.840044000000001E-2</v>
      </c>
      <c r="I184" s="83">
        <v>1.667</v>
      </c>
      <c r="J184" s="28" t="s">
        <v>20</v>
      </c>
      <c r="K184" s="22">
        <f t="shared" si="18"/>
        <v>1.3194413507315701E-3</v>
      </c>
      <c r="L184" s="22">
        <f t="shared" si="16"/>
        <v>1.3200000000000002E-3</v>
      </c>
      <c r="M184" s="22">
        <f t="shared" si="20"/>
        <v>3.4599999999999999E-2</v>
      </c>
    </row>
    <row r="185" spans="4:14" x14ac:dyDescent="0.15">
      <c r="D185" s="20" t="s">
        <v>25</v>
      </c>
      <c r="E185" s="21">
        <v>1.381</v>
      </c>
      <c r="F185" s="21" t="s">
        <v>19</v>
      </c>
      <c r="G185" s="3">
        <f>3.889*E185^(0.33)/100</f>
        <v>4.3261528238565522E-2</v>
      </c>
      <c r="H185" s="4">
        <f>0.165*E185/100</f>
        <v>2.2786500000000001E-3</v>
      </c>
      <c r="I185" s="83">
        <v>2.056</v>
      </c>
      <c r="J185" s="28" t="s">
        <v>20</v>
      </c>
      <c r="K185" s="22">
        <f t="shared" si="18"/>
        <v>1.6489377950965093E-3</v>
      </c>
      <c r="L185" s="22">
        <f t="shared" si="16"/>
        <v>1.65E-3</v>
      </c>
      <c r="M185" s="22">
        <f t="shared" si="20"/>
        <v>3.8890000000000001E-2</v>
      </c>
    </row>
    <row r="186" spans="4:14" x14ac:dyDescent="0.15">
      <c r="D186" s="20" t="s">
        <v>26</v>
      </c>
      <c r="E186" s="21">
        <v>0.158</v>
      </c>
      <c r="F186" s="21" t="s">
        <v>19</v>
      </c>
      <c r="G186" s="3">
        <f>3.785*E186^(0.33)/100</f>
        <v>2.058840593611028E-2</v>
      </c>
      <c r="H186" s="4">
        <f>0.084*E186/100</f>
        <v>1.3272000000000002E-4</v>
      </c>
      <c r="I186" s="83">
        <v>1.667</v>
      </c>
      <c r="J186" s="28" t="s">
        <v>20</v>
      </c>
      <c r="K186" s="22">
        <f t="shared" si="18"/>
        <v>8.3964449592008989E-4</v>
      </c>
      <c r="L186" s="22">
        <f t="shared" si="16"/>
        <v>8.4000000000000014E-4</v>
      </c>
      <c r="M186" s="22">
        <f t="shared" si="20"/>
        <v>3.7850000000000002E-2</v>
      </c>
    </row>
    <row r="187" spans="4:14" x14ac:dyDescent="0.15">
      <c r="D187" s="20" t="s">
        <v>27</v>
      </c>
      <c r="E187" s="21">
        <v>0.158</v>
      </c>
      <c r="F187" s="21" t="s">
        <v>19</v>
      </c>
      <c r="G187" s="3">
        <f>3.888*E187^(0.33)/100</f>
        <v>2.1148671672284479E-2</v>
      </c>
      <c r="H187" s="4">
        <f>0.128*E187/100</f>
        <v>2.0223999999999999E-4</v>
      </c>
      <c r="I187" s="83">
        <v>0.88900000000000001</v>
      </c>
      <c r="J187" s="28" t="s">
        <v>20</v>
      </c>
      <c r="K187" s="22">
        <f t="shared" si="18"/>
        <v>1.2798459259430438E-3</v>
      </c>
      <c r="L187" s="22">
        <f t="shared" si="16"/>
        <v>1.2799999999999999E-3</v>
      </c>
      <c r="M187" s="22">
        <f t="shared" si="20"/>
        <v>3.8879999999999998E-2</v>
      </c>
    </row>
    <row r="188" spans="4:14" x14ac:dyDescent="0.15">
      <c r="D188" s="20" t="s">
        <v>28</v>
      </c>
      <c r="E188" s="21">
        <v>2.6230000000000002</v>
      </c>
      <c r="F188" s="21" t="s">
        <v>19</v>
      </c>
      <c r="G188" s="3">
        <f>3.966*E188^(0.33)/100</f>
        <v>5.4520037485526814E-2</v>
      </c>
      <c r="H188" s="4">
        <f>0.128*E188/100</f>
        <v>3.3574400000000006E-3</v>
      </c>
      <c r="I188" s="83">
        <v>1.5</v>
      </c>
      <c r="J188" s="28" t="s">
        <v>20</v>
      </c>
      <c r="K188" s="22">
        <f t="shared" si="18"/>
        <v>1.2795613759687134E-3</v>
      </c>
      <c r="L188" s="22">
        <f t="shared" si="16"/>
        <v>1.2800000000000001E-3</v>
      </c>
      <c r="M188" s="22">
        <f t="shared" si="20"/>
        <v>3.9660000000000001E-2</v>
      </c>
    </row>
    <row r="189" spans="4:14" x14ac:dyDescent="0.15">
      <c r="D189" s="20" t="s">
        <v>41</v>
      </c>
      <c r="E189" s="21">
        <v>9.7070000000000004E-2</v>
      </c>
      <c r="F189" s="22" t="s">
        <v>44</v>
      </c>
      <c r="G189" s="3">
        <v>8.5789999999999998E-4</v>
      </c>
      <c r="H189" s="4">
        <v>2.05E-4</v>
      </c>
      <c r="I189" s="83">
        <v>0</v>
      </c>
      <c r="J189" s="28" t="s">
        <v>43</v>
      </c>
      <c r="K189" s="21">
        <f t="shared" si="18"/>
        <v>2.1118780261666836E-3</v>
      </c>
      <c r="L189" s="21">
        <f t="shared" si="16"/>
        <v>2.1118780261666836E-3</v>
      </c>
      <c r="M189" s="21">
        <f t="shared" si="20"/>
        <v>1.852245754642853E-3</v>
      </c>
    </row>
    <row r="190" spans="4:14" x14ac:dyDescent="0.15">
      <c r="D190" s="20" t="s">
        <v>41</v>
      </c>
      <c r="E190" s="21">
        <v>0.10265000000000001</v>
      </c>
      <c r="F190" s="22" t="s">
        <v>44</v>
      </c>
      <c r="G190" s="3">
        <v>1.206E-3</v>
      </c>
      <c r="H190" s="4">
        <v>3.0249999999999998E-4</v>
      </c>
      <c r="I190" s="83">
        <v>0</v>
      </c>
      <c r="J190" s="28" t="s">
        <v>43</v>
      </c>
      <c r="K190" s="21">
        <f t="shared" si="18"/>
        <v>2.9469069654164634E-3</v>
      </c>
      <c r="L190" s="21">
        <f t="shared" si="16"/>
        <v>2.9469069654164634E-3</v>
      </c>
      <c r="M190" s="21">
        <f t="shared" si="20"/>
        <v>2.556223676426959E-3</v>
      </c>
    </row>
    <row r="191" spans="4:14" x14ac:dyDescent="0.15">
      <c r="D191" s="20" t="s">
        <v>42</v>
      </c>
      <c r="E191" s="21">
        <v>5.7000000000000002E-2</v>
      </c>
      <c r="F191" s="22" t="s">
        <v>44</v>
      </c>
      <c r="G191" s="3">
        <v>5.354E-4</v>
      </c>
      <c r="H191" s="39">
        <v>6.2100000000000005E-5</v>
      </c>
      <c r="I191" s="83">
        <v>0</v>
      </c>
      <c r="J191" s="28" t="s">
        <v>43</v>
      </c>
      <c r="K191" s="21">
        <f t="shared" si="18"/>
        <v>1.0894736842105264E-3</v>
      </c>
      <c r="L191" s="21">
        <f t="shared" si="16"/>
        <v>1.0894736842105264E-3</v>
      </c>
      <c r="M191" s="21">
        <f t="shared" si="20"/>
        <v>1.37796968873106E-3</v>
      </c>
      <c r="N191" s="52" t="s">
        <v>45</v>
      </c>
    </row>
    <row r="192" spans="4:14" x14ac:dyDescent="0.15">
      <c r="D192" s="20" t="s">
        <v>42</v>
      </c>
      <c r="E192" s="21">
        <v>5.1700000000000003E-2</v>
      </c>
      <c r="F192" s="22" t="s">
        <v>44</v>
      </c>
      <c r="G192" s="3">
        <v>5.2289999999999997E-4</v>
      </c>
      <c r="H192" s="4">
        <f>0.062/1000</f>
        <v>6.2000000000000003E-5</v>
      </c>
      <c r="I192" s="83">
        <v>0</v>
      </c>
      <c r="J192" s="28" t="s">
        <v>43</v>
      </c>
      <c r="K192" s="21">
        <f t="shared" si="18"/>
        <v>1.1992263056092843E-3</v>
      </c>
      <c r="L192" s="21">
        <f t="shared" si="16"/>
        <v>1.1992263056092843E-3</v>
      </c>
      <c r="M192" s="21">
        <f t="shared" si="20"/>
        <v>1.3898462595376836E-3</v>
      </c>
    </row>
    <row r="193" spans="1:21" x14ac:dyDescent="0.15">
      <c r="A193" s="10"/>
      <c r="D193" s="18" t="s">
        <v>111</v>
      </c>
      <c r="E193" s="21">
        <v>0.89984193999999995</v>
      </c>
      <c r="F193" s="22" t="s">
        <v>9</v>
      </c>
      <c r="H193" s="69">
        <v>2.3406601999999997E-3</v>
      </c>
      <c r="I193" s="85">
        <v>0</v>
      </c>
      <c r="J193" s="21" t="s">
        <v>206</v>
      </c>
      <c r="K193" s="72">
        <f t="shared" si="18"/>
        <v>2.6011903823909338E-3</v>
      </c>
      <c r="L193" s="72">
        <f t="shared" si="16"/>
        <v>2.6011903823909338E-3</v>
      </c>
      <c r="N193" s="21">
        <f>1/H$196*H193</f>
        <v>0.25925409461397109</v>
      </c>
    </row>
    <row r="194" spans="1:21" x14ac:dyDescent="0.15">
      <c r="A194" s="10"/>
      <c r="D194" s="18" t="s">
        <v>111</v>
      </c>
      <c r="E194" s="21">
        <v>0.89984193999999995</v>
      </c>
      <c r="F194" s="22" t="s">
        <v>16</v>
      </c>
      <c r="G194" s="23"/>
      <c r="H194" s="70">
        <v>3.9927208849600002E-3</v>
      </c>
      <c r="I194" s="90">
        <f>AVERAGE(I152:I192)</f>
        <v>9.7455501353929535</v>
      </c>
      <c r="J194" s="21" t="s">
        <v>206</v>
      </c>
      <c r="K194" s="72">
        <f t="shared" si="18"/>
        <v>4.3731044172795963E-3</v>
      </c>
      <c r="L194" s="72">
        <f t="shared" si="16"/>
        <v>4.4371357984936783E-3</v>
      </c>
      <c r="N194" s="21">
        <f>1/H$196*H194</f>
        <v>0.44223815061946981</v>
      </c>
    </row>
    <row r="195" spans="1:21" x14ac:dyDescent="0.15">
      <c r="A195" s="10"/>
      <c r="D195" s="18" t="s">
        <v>111</v>
      </c>
      <c r="E195" s="21">
        <v>0.89984193999999995</v>
      </c>
      <c r="F195" s="22" t="s">
        <v>17</v>
      </c>
      <c r="G195" s="23"/>
      <c r="H195" s="70">
        <v>2.6950595399999992E-3</v>
      </c>
      <c r="I195" s="90">
        <f>AVERAGE(I152:I192)</f>
        <v>9.7455501353929535</v>
      </c>
      <c r="J195" s="21" t="s">
        <v>206</v>
      </c>
      <c r="K195" s="72">
        <f t="shared" si="18"/>
        <v>2.9518158465824205E-3</v>
      </c>
      <c r="L195" s="72">
        <f t="shared" si="16"/>
        <v>2.995036594982447E-3</v>
      </c>
      <c r="N195" s="21">
        <f>1/H$196*H195</f>
        <v>0.29850775476655916</v>
      </c>
    </row>
    <row r="196" spans="1:21" x14ac:dyDescent="0.15">
      <c r="D196" s="68" t="s">
        <v>111</v>
      </c>
      <c r="E196" s="51">
        <v>0.89984193999999995</v>
      </c>
      <c r="F196" s="22" t="s">
        <v>29</v>
      </c>
      <c r="G196" s="23"/>
      <c r="H196" s="70">
        <f>SUM(H193:H195)</f>
        <v>9.0284406249599991E-3</v>
      </c>
      <c r="I196" s="90">
        <f>AVERAGE(I193:I195)</f>
        <v>6.497033423595302</v>
      </c>
      <c r="J196" s="21" t="s">
        <v>206</v>
      </c>
      <c r="K196" s="72">
        <f t="shared" si="18"/>
        <v>9.9689256667716535E-3</v>
      </c>
      <c r="L196" s="72">
        <f t="shared" si="16"/>
        <v>1.0033362775867059E-2</v>
      </c>
      <c r="N196" s="28">
        <f>SUM(N193:N195)</f>
        <v>1</v>
      </c>
    </row>
    <row r="197" spans="1:21" x14ac:dyDescent="0.15">
      <c r="I197" s="85"/>
    </row>
    <row r="198" spans="1:21" x14ac:dyDescent="0.15">
      <c r="I198" s="85"/>
    </row>
    <row r="199" spans="1:21" s="2" customFormat="1" x14ac:dyDescent="0.15">
      <c r="A199" s="47" t="s">
        <v>61</v>
      </c>
      <c r="B199" s="48" t="s">
        <v>54</v>
      </c>
      <c r="C199" s="48" t="s">
        <v>55</v>
      </c>
      <c r="D199" s="20" t="s">
        <v>8</v>
      </c>
      <c r="E199" s="1">
        <v>17.100000000000001</v>
      </c>
      <c r="F199" s="36" t="s">
        <v>62</v>
      </c>
      <c r="G199" s="40">
        <v>2.4833333333333332E-2</v>
      </c>
      <c r="H199" s="41">
        <v>8.7899999999999992E-3</v>
      </c>
      <c r="I199" s="82">
        <v>29.166666666666668</v>
      </c>
      <c r="J199" s="1" t="s">
        <v>223</v>
      </c>
      <c r="K199" s="36">
        <f t="shared" ref="K199:K232" si="21">H199*COS(RADIANS(I199))/E199</f>
        <v>4.4885839675132158E-4</v>
      </c>
      <c r="L199" s="36">
        <f t="shared" ref="L199:L260" si="22">H199/E199</f>
        <v>5.1403508771929811E-4</v>
      </c>
      <c r="M199" s="36">
        <f t="shared" ref="M199:M229" si="23">G199/(E199^0.33)</f>
        <v>9.7307497016558032E-3</v>
      </c>
      <c r="O199" s="9"/>
      <c r="P199" s="49"/>
      <c r="Q199" s="49"/>
      <c r="R199" s="49"/>
      <c r="U199" s="18"/>
    </row>
    <row r="200" spans="1:21" s="2" customFormat="1" x14ac:dyDescent="0.15">
      <c r="A200" s="48"/>
      <c r="B200" s="48"/>
      <c r="C200" s="48"/>
      <c r="D200" s="20" t="s">
        <v>8</v>
      </c>
      <c r="E200" s="1">
        <v>17.100000000000001</v>
      </c>
      <c r="F200" s="37" t="s">
        <v>63</v>
      </c>
      <c r="G200" s="40">
        <v>3.0600000000000002E-2</v>
      </c>
      <c r="H200" s="41">
        <v>3.1699999999999999E-2</v>
      </c>
      <c r="I200" s="82">
        <v>31.833333333333332</v>
      </c>
      <c r="J200" s="1" t="s">
        <v>223</v>
      </c>
      <c r="K200" s="37">
        <f t="shared" si="21"/>
        <v>1.5749634810197084E-3</v>
      </c>
      <c r="L200" s="37">
        <f t="shared" si="22"/>
        <v>1.8538011695906432E-3</v>
      </c>
      <c r="M200" s="37">
        <f t="shared" si="23"/>
        <v>1.1990373457879231E-2</v>
      </c>
      <c r="O200" s="9"/>
      <c r="P200" s="49"/>
      <c r="Q200" s="49"/>
      <c r="R200" s="49"/>
      <c r="U200" s="18"/>
    </row>
    <row r="201" spans="1:21" s="2" customFormat="1" x14ac:dyDescent="0.15">
      <c r="A201" s="48"/>
      <c r="B201" s="48"/>
      <c r="C201" s="48"/>
      <c r="D201" s="20" t="s">
        <v>8</v>
      </c>
      <c r="E201" s="1">
        <v>17.100000000000001</v>
      </c>
      <c r="F201" s="1" t="s">
        <v>64</v>
      </c>
      <c r="G201" s="3">
        <f>AVERAGE(G199:G200)</f>
        <v>2.7716666666666667E-2</v>
      </c>
      <c r="H201" s="4">
        <f>SUM(H199:H200)</f>
        <v>4.0489999999999998E-2</v>
      </c>
      <c r="I201" s="83">
        <f>AVERAGE(I199:I200)</f>
        <v>30.5</v>
      </c>
      <c r="J201" s="1" t="s">
        <v>223</v>
      </c>
      <c r="K201" s="22">
        <f t="shared" si="21"/>
        <v>2.0401967664489696E-3</v>
      </c>
      <c r="L201" s="22">
        <f t="shared" si="22"/>
        <v>2.367836257309941E-3</v>
      </c>
      <c r="M201" s="22">
        <f t="shared" si="23"/>
        <v>1.0860561579767516E-2</v>
      </c>
      <c r="O201" s="9"/>
      <c r="P201" s="49"/>
      <c r="Q201" s="49"/>
      <c r="R201" s="49"/>
      <c r="U201" s="18"/>
    </row>
    <row r="202" spans="1:21" s="2" customFormat="1" x14ac:dyDescent="0.15">
      <c r="A202" s="48"/>
      <c r="B202" s="48"/>
      <c r="C202" s="48"/>
      <c r="D202" s="20" t="s">
        <v>11</v>
      </c>
      <c r="E202" s="1">
        <v>90</v>
      </c>
      <c r="F202" s="36" t="s">
        <v>62</v>
      </c>
      <c r="G202" s="3">
        <v>3.4142857142857148E-2</v>
      </c>
      <c r="H202" s="4">
        <v>3.116E-2</v>
      </c>
      <c r="I202" s="83">
        <v>24</v>
      </c>
      <c r="J202" s="1" t="s">
        <v>223</v>
      </c>
      <c r="K202" s="36">
        <f t="shared" si="21"/>
        <v>3.1628973844603829E-4</v>
      </c>
      <c r="L202" s="36">
        <f t="shared" si="22"/>
        <v>3.4622222222222221E-4</v>
      </c>
      <c r="M202" s="36">
        <f t="shared" si="23"/>
        <v>7.7339228033258692E-3</v>
      </c>
      <c r="O202" s="9"/>
      <c r="P202" s="49"/>
      <c r="Q202" s="49"/>
      <c r="R202" s="49"/>
      <c r="U202" s="18"/>
    </row>
    <row r="203" spans="1:21" s="2" customFormat="1" x14ac:dyDescent="0.15">
      <c r="A203" s="48"/>
      <c r="B203" s="48"/>
      <c r="C203" s="48"/>
      <c r="D203" s="20" t="s">
        <v>11</v>
      </c>
      <c r="E203" s="1">
        <v>90</v>
      </c>
      <c r="F203" s="37" t="s">
        <v>63</v>
      </c>
      <c r="G203" s="3">
        <v>4.6166666666666668E-2</v>
      </c>
      <c r="H203" s="39">
        <v>0.13800000000000001</v>
      </c>
      <c r="I203" s="83">
        <v>35</v>
      </c>
      <c r="J203" s="1" t="s">
        <v>223</v>
      </c>
      <c r="K203" s="37">
        <f t="shared" si="21"/>
        <v>1.2560331345764543E-3</v>
      </c>
      <c r="L203" s="37">
        <f t="shared" si="22"/>
        <v>1.5333333333333334E-3</v>
      </c>
      <c r="M203" s="37">
        <f t="shared" si="23"/>
        <v>1.0457514864469218E-2</v>
      </c>
      <c r="N203" s="52" t="s">
        <v>45</v>
      </c>
      <c r="O203" s="9"/>
      <c r="P203" s="49"/>
      <c r="Q203" s="49"/>
      <c r="R203" s="49"/>
      <c r="U203" s="18"/>
    </row>
    <row r="204" spans="1:21" s="2" customFormat="1" x14ac:dyDescent="0.15">
      <c r="A204" s="48"/>
      <c r="B204" s="48"/>
      <c r="C204" s="48"/>
      <c r="D204" s="20" t="s">
        <v>11</v>
      </c>
      <c r="E204" s="1">
        <v>90</v>
      </c>
      <c r="F204" s="1" t="s">
        <v>64</v>
      </c>
      <c r="G204" s="3">
        <f>AVERAGE(G202:G203)</f>
        <v>4.0154761904761908E-2</v>
      </c>
      <c r="H204" s="4">
        <f>SUM(H202:H203)</f>
        <v>0.16916</v>
      </c>
      <c r="I204" s="83">
        <f>AVERAGE(I202:I203)</f>
        <v>29.5</v>
      </c>
      <c r="J204" s="1" t="s">
        <v>223</v>
      </c>
      <c r="K204" s="22">
        <f t="shared" si="21"/>
        <v>1.6358818836132605E-3</v>
      </c>
      <c r="L204" s="22">
        <f t="shared" si="22"/>
        <v>1.8795555555555555E-3</v>
      </c>
      <c r="M204" s="22">
        <f t="shared" si="23"/>
        <v>9.0957188338975439E-3</v>
      </c>
      <c r="O204" s="9"/>
      <c r="P204" s="49"/>
      <c r="Q204" s="49"/>
      <c r="R204" s="49"/>
      <c r="U204" s="18"/>
    </row>
    <row r="205" spans="1:21" s="2" customFormat="1" x14ac:dyDescent="0.15">
      <c r="A205" s="48"/>
      <c r="B205" s="48"/>
      <c r="C205" s="48"/>
      <c r="D205" s="20" t="s">
        <v>12</v>
      </c>
      <c r="E205" s="1">
        <v>20.190000000000001</v>
      </c>
      <c r="F205" s="36" t="s">
        <v>62</v>
      </c>
      <c r="G205" s="3">
        <v>8.4199999999999987E-3</v>
      </c>
      <c r="H205" s="4">
        <v>8.0000000000000002E-3</v>
      </c>
      <c r="I205" s="84">
        <v>0</v>
      </c>
      <c r="J205" s="1" t="s">
        <v>223</v>
      </c>
      <c r="K205" s="36">
        <f t="shared" si="21"/>
        <v>3.9623576027736503E-4</v>
      </c>
      <c r="L205" s="36">
        <f t="shared" si="22"/>
        <v>3.9623576027736503E-4</v>
      </c>
      <c r="M205" s="36">
        <f t="shared" si="23"/>
        <v>3.1233244880809995E-3</v>
      </c>
      <c r="O205" s="9"/>
      <c r="P205" s="49"/>
      <c r="Q205" s="49"/>
      <c r="R205" s="49"/>
      <c r="U205" s="18"/>
    </row>
    <row r="206" spans="1:21" s="2" customFormat="1" x14ac:dyDescent="0.15">
      <c r="A206" s="48"/>
      <c r="B206" s="48"/>
      <c r="C206" s="48"/>
      <c r="D206" s="20" t="s">
        <v>12</v>
      </c>
      <c r="E206" s="1">
        <v>20.190000000000001</v>
      </c>
      <c r="F206" s="37" t="s">
        <v>63</v>
      </c>
      <c r="G206" s="3">
        <v>3.9200000000000007E-3</v>
      </c>
      <c r="H206" s="4">
        <v>3.7499999999999999E-2</v>
      </c>
      <c r="I206" s="84">
        <v>17.600000000000001</v>
      </c>
      <c r="J206" s="1" t="s">
        <v>223</v>
      </c>
      <c r="K206" s="37">
        <f t="shared" si="21"/>
        <v>1.7704135731666918E-3</v>
      </c>
      <c r="L206" s="37">
        <f t="shared" si="22"/>
        <v>1.8573551263001485E-3</v>
      </c>
      <c r="M206" s="37">
        <f t="shared" si="23"/>
        <v>1.4540893103655015E-3</v>
      </c>
      <c r="O206" s="49"/>
      <c r="P206" s="9"/>
      <c r="Q206" s="49"/>
      <c r="R206" s="49"/>
      <c r="U206" s="18"/>
    </row>
    <row r="207" spans="1:21" s="2" customFormat="1" x14ac:dyDescent="0.15">
      <c r="A207" s="48"/>
      <c r="B207" s="48"/>
      <c r="C207" s="48"/>
      <c r="D207" s="20" t="s">
        <v>12</v>
      </c>
      <c r="E207" s="1">
        <v>20.190000000000001</v>
      </c>
      <c r="F207" s="1" t="s">
        <v>64</v>
      </c>
      <c r="G207" s="3">
        <f>AVERAGE(G205:G206)</f>
        <v>6.1700000000000001E-3</v>
      </c>
      <c r="H207" s="4">
        <f>SUM(H205:H206)</f>
        <v>4.5499999999999999E-2</v>
      </c>
      <c r="I207" s="83">
        <f>AVERAGE(I205:I206)</f>
        <v>8.8000000000000007</v>
      </c>
      <c r="J207" s="1" t="s">
        <v>223</v>
      </c>
      <c r="K207" s="22">
        <f t="shared" si="21"/>
        <v>2.2270624742851981E-3</v>
      </c>
      <c r="L207" s="22">
        <f t="shared" si="22"/>
        <v>2.2535908865775134E-3</v>
      </c>
      <c r="M207" s="22">
        <f t="shared" si="23"/>
        <v>2.2887068992232507E-3</v>
      </c>
      <c r="O207" s="49"/>
      <c r="P207" s="9"/>
      <c r="Q207" s="49"/>
      <c r="R207" s="49"/>
      <c r="U207" s="18"/>
    </row>
    <row r="208" spans="1:21" s="2" customFormat="1" x14ac:dyDescent="0.15">
      <c r="A208" s="48"/>
      <c r="B208" s="48"/>
      <c r="C208" s="48"/>
      <c r="D208" s="20" t="s">
        <v>13</v>
      </c>
      <c r="E208" s="1">
        <v>27.7</v>
      </c>
      <c r="F208" s="36" t="s">
        <v>62</v>
      </c>
      <c r="G208" s="3">
        <v>3.85E-2</v>
      </c>
      <c r="H208" s="4">
        <v>1.248E-2</v>
      </c>
      <c r="I208" s="83">
        <v>36</v>
      </c>
      <c r="J208" s="1" t="s">
        <v>223</v>
      </c>
      <c r="K208" s="36">
        <f t="shared" si="21"/>
        <v>3.6449574331405571E-4</v>
      </c>
      <c r="L208" s="36">
        <f t="shared" si="22"/>
        <v>4.5054151624548738E-4</v>
      </c>
      <c r="M208" s="36">
        <f t="shared" si="23"/>
        <v>1.2865966187567839E-2</v>
      </c>
      <c r="O208" s="49"/>
      <c r="P208" s="9"/>
      <c r="Q208" s="49"/>
      <c r="R208" s="49"/>
      <c r="U208" s="18"/>
    </row>
    <row r="209" spans="1:21" s="2" customFormat="1" x14ac:dyDescent="0.15">
      <c r="A209" s="48"/>
      <c r="B209" s="48"/>
      <c r="C209" s="48"/>
      <c r="D209" s="20" t="s">
        <v>13</v>
      </c>
      <c r="E209" s="1">
        <v>27.7</v>
      </c>
      <c r="F209" s="37" t="s">
        <v>63</v>
      </c>
      <c r="G209" s="3">
        <v>6.6799999999999998E-2</v>
      </c>
      <c r="H209" s="4">
        <v>5.5800000000000002E-2</v>
      </c>
      <c r="I209" s="83">
        <v>34</v>
      </c>
      <c r="J209" s="1" t="s">
        <v>223</v>
      </c>
      <c r="K209" s="37">
        <f t="shared" si="21"/>
        <v>1.6700468068076291E-3</v>
      </c>
      <c r="L209" s="37">
        <f t="shared" si="22"/>
        <v>2.0144404332129964E-3</v>
      </c>
      <c r="M209" s="37">
        <f t="shared" si="23"/>
        <v>2.2323286787780044E-2</v>
      </c>
      <c r="O209" s="49"/>
      <c r="P209" s="9"/>
      <c r="Q209" s="49"/>
      <c r="R209" s="49"/>
      <c r="U209" s="18"/>
    </row>
    <row r="210" spans="1:21" s="2" customFormat="1" x14ac:dyDescent="0.15">
      <c r="A210" s="48"/>
      <c r="B210" s="48"/>
      <c r="C210" s="48"/>
      <c r="D210" s="20" t="s">
        <v>13</v>
      </c>
      <c r="E210" s="1">
        <v>27.7</v>
      </c>
      <c r="F210" s="1" t="s">
        <v>64</v>
      </c>
      <c r="G210" s="3">
        <f>AVERAGE(G208:G209)</f>
        <v>5.2650000000000002E-2</v>
      </c>
      <c r="H210" s="4">
        <f>SUM(H208:H209)</f>
        <v>6.8280000000000007E-2</v>
      </c>
      <c r="I210" s="83">
        <f>AVERAGE(I208:I209)</f>
        <v>35</v>
      </c>
      <c r="J210" s="1" t="s">
        <v>223</v>
      </c>
      <c r="K210" s="22">
        <f t="shared" si="21"/>
        <v>2.0191950030343814E-3</v>
      </c>
      <c r="L210" s="22">
        <f t="shared" si="22"/>
        <v>2.4649819494584843E-3</v>
      </c>
      <c r="M210" s="22">
        <f t="shared" si="23"/>
        <v>1.7594626487673942E-2</v>
      </c>
      <c r="O210" s="49"/>
      <c r="P210" s="9"/>
      <c r="Q210" s="49"/>
      <c r="R210" s="49"/>
      <c r="U210" s="18"/>
    </row>
    <row r="211" spans="1:21" s="2" customFormat="1" x14ac:dyDescent="0.15">
      <c r="A211" s="48"/>
      <c r="B211" s="48"/>
      <c r="C211" s="48"/>
      <c r="D211" s="26" t="s">
        <v>14</v>
      </c>
      <c r="E211" s="42">
        <v>278</v>
      </c>
      <c r="F211" s="36" t="s">
        <v>62</v>
      </c>
      <c r="G211" s="3">
        <v>6.0999999999999999E-2</v>
      </c>
      <c r="H211" s="4">
        <v>9.1200000000000003E-2</v>
      </c>
      <c r="I211" s="83">
        <v>28</v>
      </c>
      <c r="J211" s="1" t="s">
        <v>223</v>
      </c>
      <c r="K211" s="36">
        <f t="shared" si="21"/>
        <v>2.8965762758537464E-4</v>
      </c>
      <c r="L211" s="36">
        <f t="shared" si="22"/>
        <v>3.2805755395683454E-4</v>
      </c>
      <c r="M211" s="36">
        <f t="shared" si="23"/>
        <v>9.5234663664756011E-3</v>
      </c>
      <c r="O211" s="49"/>
      <c r="P211" s="9"/>
      <c r="Q211" s="49"/>
      <c r="R211" s="49"/>
      <c r="U211" s="18"/>
    </row>
    <row r="212" spans="1:21" s="2" customFormat="1" x14ac:dyDescent="0.15">
      <c r="A212" s="48"/>
      <c r="B212" s="48"/>
      <c r="C212" s="48"/>
      <c r="D212" s="26" t="s">
        <v>14</v>
      </c>
      <c r="E212" s="42">
        <v>278</v>
      </c>
      <c r="F212" s="37" t="s">
        <v>63</v>
      </c>
      <c r="G212" s="6">
        <v>9.7000000000000003E-2</v>
      </c>
      <c r="H212" s="7">
        <v>0.41520000000000001</v>
      </c>
      <c r="I212" s="88">
        <v>27</v>
      </c>
      <c r="J212" s="1" t="s">
        <v>223</v>
      </c>
      <c r="K212" s="37">
        <f t="shared" si="21"/>
        <v>1.3307406792914041E-3</v>
      </c>
      <c r="L212" s="37">
        <f t="shared" si="22"/>
        <v>1.4935251798561151E-3</v>
      </c>
      <c r="M212" s="37">
        <f t="shared" si="23"/>
        <v>1.5143872746690712E-2</v>
      </c>
      <c r="O212" s="49"/>
      <c r="P212" s="9"/>
      <c r="Q212" s="49"/>
      <c r="R212" s="49"/>
      <c r="U212" s="18"/>
    </row>
    <row r="213" spans="1:21" s="2" customFormat="1" x14ac:dyDescent="0.15">
      <c r="A213" s="48"/>
      <c r="B213" s="48"/>
      <c r="C213" s="48"/>
      <c r="D213" s="26" t="s">
        <v>14</v>
      </c>
      <c r="E213" s="42">
        <v>278</v>
      </c>
      <c r="F213" s="1" t="s">
        <v>64</v>
      </c>
      <c r="G213" s="3">
        <f>AVERAGE(G211:G212)</f>
        <v>7.9000000000000001E-2</v>
      </c>
      <c r="H213" s="4">
        <f>SUM(H211:H212)</f>
        <v>0.50639999999999996</v>
      </c>
      <c r="I213" s="83">
        <f>AVERAGE(I211:I212)</f>
        <v>27.5</v>
      </c>
      <c r="J213" s="1" t="s">
        <v>223</v>
      </c>
      <c r="K213" s="22">
        <f t="shared" si="21"/>
        <v>1.6157636184224871E-3</v>
      </c>
      <c r="L213" s="22">
        <f t="shared" si="22"/>
        <v>1.8215827338129494E-3</v>
      </c>
      <c r="M213" s="22">
        <f t="shared" si="23"/>
        <v>1.2333669556583157E-2</v>
      </c>
      <c r="O213" s="49"/>
      <c r="P213" s="49"/>
      <c r="Q213" s="22"/>
      <c r="R213" s="49"/>
      <c r="U213" s="18"/>
    </row>
    <row r="214" spans="1:21" s="2" customFormat="1" x14ac:dyDescent="0.15">
      <c r="A214" s="48"/>
      <c r="B214" s="48"/>
      <c r="C214" s="48"/>
      <c r="D214" s="26" t="s">
        <v>15</v>
      </c>
      <c r="E214" s="42">
        <v>7.7</v>
      </c>
      <c r="F214" s="36" t="s">
        <v>62</v>
      </c>
      <c r="G214" s="45">
        <v>5.2400000000000002E-2</v>
      </c>
      <c r="H214" s="39">
        <v>3.2100000000000002E-3</v>
      </c>
      <c r="I214" s="91">
        <v>0</v>
      </c>
      <c r="J214" s="1" t="s">
        <v>223</v>
      </c>
      <c r="K214" s="36">
        <f t="shared" si="21"/>
        <v>4.168831168831169E-4</v>
      </c>
      <c r="L214" s="36">
        <f t="shared" si="22"/>
        <v>4.168831168831169E-4</v>
      </c>
      <c r="M214" s="36">
        <f t="shared" si="23"/>
        <v>2.6717101949256382E-2</v>
      </c>
      <c r="N214" s="46" t="s">
        <v>68</v>
      </c>
      <c r="O214" s="49"/>
      <c r="P214" s="49"/>
      <c r="Q214" s="22"/>
      <c r="R214" s="49"/>
      <c r="U214" s="18"/>
    </row>
    <row r="215" spans="1:21" s="2" customFormat="1" x14ac:dyDescent="0.15">
      <c r="A215" s="48"/>
      <c r="B215" s="48"/>
      <c r="C215" s="48"/>
      <c r="D215" s="26" t="s">
        <v>15</v>
      </c>
      <c r="E215" s="42">
        <v>7.7</v>
      </c>
      <c r="F215" s="37" t="s">
        <v>63</v>
      </c>
      <c r="G215" s="45">
        <v>2.1399999999999999E-2</v>
      </c>
      <c r="H215" s="39">
        <v>1.7337999999999999E-2</v>
      </c>
      <c r="I215" s="92">
        <v>0</v>
      </c>
      <c r="J215" s="1" t="s">
        <v>223</v>
      </c>
      <c r="K215" s="37">
        <f t="shared" si="21"/>
        <v>2.2516883116883114E-3</v>
      </c>
      <c r="L215" s="37">
        <f t="shared" si="22"/>
        <v>2.2516883116883114E-3</v>
      </c>
      <c r="M215" s="37">
        <f t="shared" si="23"/>
        <v>1.0911182857139056E-2</v>
      </c>
      <c r="O215" s="49"/>
      <c r="P215" s="49"/>
      <c r="Q215" s="22"/>
      <c r="R215" s="49"/>
      <c r="U215" s="18"/>
    </row>
    <row r="216" spans="1:21" s="2" customFormat="1" x14ac:dyDescent="0.15">
      <c r="A216" s="48"/>
      <c r="B216" s="48"/>
      <c r="C216" s="48"/>
      <c r="D216" s="26" t="s">
        <v>15</v>
      </c>
      <c r="E216" s="42">
        <v>7.7</v>
      </c>
      <c r="F216" s="1" t="s">
        <v>64</v>
      </c>
      <c r="G216" s="3">
        <f>AVERAGE(G214:G215)</f>
        <v>3.6900000000000002E-2</v>
      </c>
      <c r="H216" s="4">
        <f>SUM(H214:H215)</f>
        <v>2.0548E-2</v>
      </c>
      <c r="I216" s="83">
        <f>AVERAGE(I214:I215)</f>
        <v>0</v>
      </c>
      <c r="J216" s="1" t="s">
        <v>223</v>
      </c>
      <c r="K216" s="22">
        <f t="shared" si="21"/>
        <v>2.6685714285714286E-3</v>
      </c>
      <c r="L216" s="22">
        <f t="shared" si="22"/>
        <v>2.6685714285714286E-3</v>
      </c>
      <c r="M216" s="22">
        <f t="shared" si="23"/>
        <v>1.8814142403197721E-2</v>
      </c>
      <c r="O216" s="49"/>
      <c r="P216" s="49"/>
      <c r="Q216" s="22"/>
      <c r="R216" s="49"/>
      <c r="U216" s="18"/>
    </row>
    <row r="217" spans="1:21" s="2" customFormat="1" x14ac:dyDescent="0.15">
      <c r="A217" s="48"/>
      <c r="B217" s="48"/>
      <c r="C217" s="48"/>
      <c r="D217" s="20" t="s">
        <v>14</v>
      </c>
      <c r="E217" s="1">
        <v>3.7</v>
      </c>
      <c r="F217" s="36" t="s">
        <v>62</v>
      </c>
      <c r="G217" s="3">
        <v>1.6323000000000001E-2</v>
      </c>
      <c r="H217" s="4">
        <v>1.7696999999999999E-3</v>
      </c>
      <c r="I217" s="83">
        <v>27.66667</v>
      </c>
      <c r="J217" s="1" t="s">
        <v>222</v>
      </c>
      <c r="K217" s="36">
        <f t="shared" si="21"/>
        <v>4.2361064156653454E-4</v>
      </c>
      <c r="L217" s="36">
        <f t="shared" si="22"/>
        <v>4.7829729729729727E-4</v>
      </c>
      <c r="M217" s="36">
        <f t="shared" si="23"/>
        <v>1.0599696044792809E-2</v>
      </c>
      <c r="O217" s="49"/>
      <c r="P217" s="49"/>
      <c r="Q217" s="22"/>
      <c r="R217" s="49"/>
      <c r="U217" s="18"/>
    </row>
    <row r="218" spans="1:21" s="2" customFormat="1" x14ac:dyDescent="0.15">
      <c r="A218" s="48"/>
      <c r="B218" s="48"/>
      <c r="C218" s="48"/>
      <c r="D218" s="20" t="s">
        <v>14</v>
      </c>
      <c r="E218" s="1">
        <v>3.7</v>
      </c>
      <c r="F218" s="37" t="s">
        <v>63</v>
      </c>
      <c r="G218" s="40">
        <v>3.3617000000000001E-2</v>
      </c>
      <c r="H218" s="41">
        <v>6.6013E-3</v>
      </c>
      <c r="I218" s="82">
        <v>34.666670000000003</v>
      </c>
      <c r="J218" s="1" t="s">
        <v>222</v>
      </c>
      <c r="K218" s="37">
        <f t="shared" si="21"/>
        <v>1.4674066562241229E-3</v>
      </c>
      <c r="L218" s="37">
        <f t="shared" si="22"/>
        <v>1.7841351351351351E-3</v>
      </c>
      <c r="M218" s="37">
        <f t="shared" si="23"/>
        <v>2.1829932116510437E-2</v>
      </c>
      <c r="O218" s="49"/>
      <c r="P218" s="49"/>
      <c r="Q218" s="22"/>
      <c r="R218" s="49"/>
      <c r="U218" s="18"/>
    </row>
    <row r="219" spans="1:21" x14ac:dyDescent="0.15">
      <c r="A219" s="10"/>
      <c r="B219" s="10"/>
      <c r="C219" s="10"/>
      <c r="D219" s="20" t="s">
        <v>14</v>
      </c>
      <c r="E219" s="1">
        <v>3.7</v>
      </c>
      <c r="F219" s="1" t="s">
        <v>64</v>
      </c>
      <c r="G219" s="3">
        <f>AVERAGE(G217:G218)</f>
        <v>2.4969999999999999E-2</v>
      </c>
      <c r="H219" s="4">
        <f>SUM(H217:H218)</f>
        <v>8.371E-3</v>
      </c>
      <c r="I219" s="83">
        <f>AVERAGE(I217:I218)</f>
        <v>31.166670000000003</v>
      </c>
      <c r="J219" s="1" t="s">
        <v>222</v>
      </c>
      <c r="K219" s="22">
        <f t="shared" si="21"/>
        <v>1.9358852906803433E-3</v>
      </c>
      <c r="L219" s="22">
        <f t="shared" si="22"/>
        <v>2.2624324324324323E-3</v>
      </c>
      <c r="M219" s="22">
        <f t="shared" si="23"/>
        <v>1.6214814080651622E-2</v>
      </c>
      <c r="O219" s="9"/>
      <c r="P219" s="9"/>
      <c r="Q219" s="22"/>
      <c r="R219" s="9"/>
    </row>
    <row r="220" spans="1:21" x14ac:dyDescent="0.15">
      <c r="A220" s="10"/>
      <c r="B220" s="10"/>
      <c r="C220" s="10"/>
      <c r="D220" s="20" t="s">
        <v>65</v>
      </c>
      <c r="E220" s="21">
        <v>0.443</v>
      </c>
      <c r="F220" s="22" t="s">
        <v>66</v>
      </c>
      <c r="G220" s="3">
        <f>1.936*E220^(0.33)/100</f>
        <v>1.4798530183301444E-2</v>
      </c>
      <c r="H220" s="4">
        <f>0.109*E220/100</f>
        <v>4.8287000000000004E-4</v>
      </c>
      <c r="I220" s="83">
        <v>14</v>
      </c>
      <c r="J220" s="28" t="s">
        <v>20</v>
      </c>
      <c r="K220" s="22">
        <f t="shared" si="21"/>
        <v>1.0576223416408363E-3</v>
      </c>
      <c r="L220" s="22">
        <f t="shared" si="22"/>
        <v>1.09E-3</v>
      </c>
      <c r="M220" s="22">
        <f t="shared" si="23"/>
        <v>1.9360000000000002E-2</v>
      </c>
      <c r="O220" s="9"/>
      <c r="P220" s="9"/>
      <c r="Q220" s="9"/>
      <c r="R220" s="9"/>
    </row>
    <row r="221" spans="1:21" x14ac:dyDescent="0.15">
      <c r="A221" s="10"/>
      <c r="B221" s="10"/>
      <c r="C221" s="10"/>
      <c r="D221" s="20" t="s">
        <v>24</v>
      </c>
      <c r="E221" s="21">
        <v>36.667000000000002</v>
      </c>
      <c r="F221" s="22" t="s">
        <v>66</v>
      </c>
      <c r="G221" s="3">
        <f>1.927*E221^(0.33)/100</f>
        <v>6.3254669303536404E-2</v>
      </c>
      <c r="H221" s="4">
        <f>0.105*E221/100</f>
        <v>3.8500350000000003E-2</v>
      </c>
      <c r="I221" s="83">
        <v>23.888999999999999</v>
      </c>
      <c r="J221" s="28" t="s">
        <v>20</v>
      </c>
      <c r="K221" s="22">
        <f t="shared" si="21"/>
        <v>9.6004830598484111E-4</v>
      </c>
      <c r="L221" s="22">
        <f t="shared" si="22"/>
        <v>1.0499999999999999E-3</v>
      </c>
      <c r="M221" s="22">
        <f t="shared" si="23"/>
        <v>1.9270000000000002E-2</v>
      </c>
      <c r="O221" s="9"/>
      <c r="P221" s="9"/>
      <c r="Q221" s="9"/>
      <c r="R221" s="9"/>
    </row>
    <row r="222" spans="1:21" x14ac:dyDescent="0.15">
      <c r="A222" s="10"/>
      <c r="B222" s="10"/>
      <c r="C222" s="10"/>
      <c r="D222" s="20" t="s">
        <v>25</v>
      </c>
      <c r="E222" s="21">
        <v>1.609</v>
      </c>
      <c r="F222" s="22" t="s">
        <v>66</v>
      </c>
      <c r="G222" s="3">
        <f>2.297*E222^(0.33)/100</f>
        <v>2.6873515914698509E-2</v>
      </c>
      <c r="H222" s="4">
        <f>0.124*E222/100</f>
        <v>1.9951600000000002E-3</v>
      </c>
      <c r="I222" s="83">
        <v>16.667000000000002</v>
      </c>
      <c r="J222" s="28" t="s">
        <v>20</v>
      </c>
      <c r="K222" s="22">
        <f t="shared" si="21"/>
        <v>1.1879049262446737E-3</v>
      </c>
      <c r="L222" s="22">
        <f t="shared" si="22"/>
        <v>1.2400000000000002E-3</v>
      </c>
      <c r="M222" s="22">
        <f t="shared" si="23"/>
        <v>2.2970000000000001E-2</v>
      </c>
      <c r="O222" s="9"/>
      <c r="P222" s="9"/>
      <c r="Q222" s="9"/>
      <c r="R222" s="9"/>
    </row>
    <row r="223" spans="1:21" x14ac:dyDescent="0.15">
      <c r="A223" s="10"/>
      <c r="B223" s="10"/>
      <c r="C223" s="10"/>
      <c r="D223" s="20" t="s">
        <v>26</v>
      </c>
      <c r="E223" s="21">
        <v>0.158</v>
      </c>
      <c r="F223" s="22" t="s">
        <v>66</v>
      </c>
      <c r="G223" s="3">
        <f>1.802*E223^(0.33)/100</f>
        <v>9.8019306464651838E-3</v>
      </c>
      <c r="H223" s="4">
        <f>0.053*E223/100</f>
        <v>8.3739999999999994E-5</v>
      </c>
      <c r="I223" s="83">
        <v>20</v>
      </c>
      <c r="J223" s="28" t="s">
        <v>20</v>
      </c>
      <c r="K223" s="22">
        <f t="shared" si="21"/>
        <v>4.9803708901653145E-4</v>
      </c>
      <c r="L223" s="22">
        <f t="shared" si="22"/>
        <v>5.2999999999999998E-4</v>
      </c>
      <c r="M223" s="22">
        <f t="shared" si="23"/>
        <v>1.8020000000000001E-2</v>
      </c>
      <c r="O223" s="9"/>
      <c r="P223" s="9"/>
      <c r="Q223" s="9"/>
      <c r="R223" s="9"/>
    </row>
    <row r="224" spans="1:21" x14ac:dyDescent="0.15">
      <c r="A224" s="10"/>
      <c r="B224" s="10"/>
      <c r="C224" s="10"/>
      <c r="D224" s="20" t="s">
        <v>27</v>
      </c>
      <c r="E224" s="21">
        <v>0.158</v>
      </c>
      <c r="F224" s="22" t="s">
        <v>66</v>
      </c>
      <c r="G224" s="3">
        <f>2.03*E224^(0.33)/100</f>
        <v>1.1042130528481867E-2</v>
      </c>
      <c r="H224" s="39">
        <f>0.058*E224/100</f>
        <v>9.1639999999999997E-5</v>
      </c>
      <c r="I224" s="83">
        <v>16</v>
      </c>
      <c r="J224" s="28" t="s">
        <v>20</v>
      </c>
      <c r="K224" s="22">
        <f t="shared" si="21"/>
        <v>5.5753178364422492E-4</v>
      </c>
      <c r="L224" s="22">
        <f t="shared" si="22"/>
        <v>5.8E-4</v>
      </c>
      <c r="M224" s="22">
        <f t="shared" si="23"/>
        <v>2.0300000000000002E-2</v>
      </c>
      <c r="N224" s="52" t="s">
        <v>45</v>
      </c>
      <c r="O224" s="9"/>
      <c r="P224" s="9"/>
      <c r="Q224" s="9"/>
      <c r="R224" s="9"/>
    </row>
    <row r="225" spans="1:21" x14ac:dyDescent="0.15">
      <c r="A225" s="10"/>
      <c r="B225" s="10"/>
      <c r="C225" s="10"/>
      <c r="D225" s="20" t="s">
        <v>28</v>
      </c>
      <c r="E225" s="21">
        <v>2.6230000000000002</v>
      </c>
      <c r="F225" s="22" t="s">
        <v>66</v>
      </c>
      <c r="G225" s="3">
        <f>1.739*E225^(0.33)/100</f>
        <v>2.3905785473356315E-2</v>
      </c>
      <c r="H225" s="4">
        <f>0.113*E225/100</f>
        <v>2.9639900000000001E-3</v>
      </c>
      <c r="I225" s="83">
        <v>24.167000000000002</v>
      </c>
      <c r="J225" s="28" t="s">
        <v>20</v>
      </c>
      <c r="K225" s="22">
        <f t="shared" si="21"/>
        <v>1.0309623518562861E-3</v>
      </c>
      <c r="L225" s="22">
        <f t="shared" si="22"/>
        <v>1.1299999999999999E-3</v>
      </c>
      <c r="M225" s="22">
        <f t="shared" si="23"/>
        <v>1.7390000000000003E-2</v>
      </c>
      <c r="O225" s="9"/>
      <c r="P225" s="9"/>
      <c r="Q225" s="9"/>
      <c r="R225" s="9"/>
    </row>
    <row r="226" spans="1:21" x14ac:dyDescent="0.15">
      <c r="A226" s="10"/>
      <c r="B226" s="10"/>
      <c r="C226" s="10"/>
      <c r="D226" s="20" t="s">
        <v>41</v>
      </c>
      <c r="E226" s="21">
        <v>9.7070000000000004E-2</v>
      </c>
      <c r="F226" s="22" t="s">
        <v>67</v>
      </c>
      <c r="G226" s="3">
        <v>7.4679999999999998E-3</v>
      </c>
      <c r="H226" s="4">
        <v>1.5009999999999999E-4</v>
      </c>
      <c r="I226" s="83">
        <v>0</v>
      </c>
      <c r="J226" s="28" t="s">
        <v>43</v>
      </c>
      <c r="K226" s="22">
        <f t="shared" si="21"/>
        <v>1.5463067889152156E-3</v>
      </c>
      <c r="L226" s="22">
        <f t="shared" si="22"/>
        <v>1.5463067889152156E-3</v>
      </c>
      <c r="M226" s="22">
        <f t="shared" si="23"/>
        <v>1.6123757192764689E-2</v>
      </c>
    </row>
    <row r="227" spans="1:21" x14ac:dyDescent="0.15">
      <c r="A227" s="10"/>
      <c r="B227" s="10"/>
      <c r="C227" s="10"/>
      <c r="D227" s="20" t="s">
        <v>41</v>
      </c>
      <c r="E227" s="21">
        <v>0.10265000000000001</v>
      </c>
      <c r="F227" s="22" t="s">
        <v>67</v>
      </c>
      <c r="G227" s="3">
        <v>1.0070000000000001E-2</v>
      </c>
      <c r="H227" s="4">
        <v>1.829E-4</v>
      </c>
      <c r="I227" s="83">
        <v>0</v>
      </c>
      <c r="J227" s="28" t="s">
        <v>43</v>
      </c>
      <c r="K227" s="22">
        <f t="shared" si="21"/>
        <v>1.7817827569410617E-3</v>
      </c>
      <c r="L227" s="22">
        <f t="shared" si="22"/>
        <v>1.7817827569410617E-3</v>
      </c>
      <c r="M227" s="22">
        <f t="shared" si="23"/>
        <v>2.1344255739319636E-2</v>
      </c>
    </row>
    <row r="228" spans="1:21" x14ac:dyDescent="0.15">
      <c r="A228" s="10"/>
      <c r="B228" s="10"/>
      <c r="C228" s="10"/>
      <c r="D228" s="20" t="s">
        <v>42</v>
      </c>
      <c r="E228" s="21">
        <v>5.7000000000000002E-2</v>
      </c>
      <c r="F228" s="22" t="s">
        <v>67</v>
      </c>
      <c r="G228" s="3">
        <v>5.7489999999999998E-3</v>
      </c>
      <c r="H228" s="4">
        <v>9.1000000000000003E-5</v>
      </c>
      <c r="I228" s="83">
        <v>0</v>
      </c>
      <c r="J228" s="28" t="s">
        <v>43</v>
      </c>
      <c r="K228" s="22">
        <f t="shared" si="21"/>
        <v>1.5964912280701754E-3</v>
      </c>
      <c r="L228" s="22">
        <f t="shared" si="22"/>
        <v>1.5964912280701754E-3</v>
      </c>
      <c r="M228" s="22">
        <f t="shared" si="23"/>
        <v>1.4796316287849949E-2</v>
      </c>
    </row>
    <row r="229" spans="1:21" x14ac:dyDescent="0.15">
      <c r="A229" s="10"/>
      <c r="B229" s="10"/>
      <c r="C229" s="10"/>
      <c r="D229" s="20" t="s">
        <v>42</v>
      </c>
      <c r="E229" s="21">
        <v>5.1700000000000003E-2</v>
      </c>
      <c r="F229" s="22" t="s">
        <v>67</v>
      </c>
      <c r="G229" s="3">
        <v>5.5209999999999999E-3</v>
      </c>
      <c r="H229" s="4">
        <v>8.9900000000000003E-5</v>
      </c>
      <c r="I229" s="83">
        <v>0</v>
      </c>
      <c r="J229" s="28" t="s">
        <v>43</v>
      </c>
      <c r="K229" s="22">
        <f t="shared" si="21"/>
        <v>1.7388781431334622E-3</v>
      </c>
      <c r="L229" s="22">
        <f t="shared" si="22"/>
        <v>1.7388781431334622E-3</v>
      </c>
      <c r="M229" s="22">
        <f t="shared" si="23"/>
        <v>1.4674586343292315E-2</v>
      </c>
      <c r="P229" s="9"/>
    </row>
    <row r="230" spans="1:21" x14ac:dyDescent="0.15">
      <c r="A230" s="10"/>
      <c r="B230" s="10"/>
      <c r="C230" s="10"/>
      <c r="D230" s="18" t="s">
        <v>111</v>
      </c>
      <c r="E230" s="21">
        <v>0.89984193999999995</v>
      </c>
      <c r="F230" s="22" t="s">
        <v>62</v>
      </c>
      <c r="G230" s="23"/>
      <c r="H230" s="70">
        <v>1.0284310799999999E-3</v>
      </c>
      <c r="I230" s="90">
        <f>AVERAGE(I199:I229)</f>
        <v>19.423322903225806</v>
      </c>
      <c r="J230" s="21" t="s">
        <v>206</v>
      </c>
      <c r="K230" s="72">
        <f t="shared" si="21"/>
        <v>1.0778563647201879E-3</v>
      </c>
      <c r="L230" s="72">
        <f t="shared" si="22"/>
        <v>1.1429019189747923E-3</v>
      </c>
      <c r="N230" s="21">
        <f>1/H$232*H230</f>
        <v>0.33204276434333446</v>
      </c>
      <c r="P230" s="9"/>
    </row>
    <row r="231" spans="1:21" x14ac:dyDescent="0.15">
      <c r="A231" s="10"/>
      <c r="B231" s="10"/>
      <c r="C231" s="10"/>
      <c r="D231" s="18" t="s">
        <v>111</v>
      </c>
      <c r="E231" s="21">
        <v>0.89984193999999995</v>
      </c>
      <c r="F231" s="22" t="s">
        <v>63</v>
      </c>
      <c r="G231" s="23"/>
      <c r="H231" s="73">
        <v>2.0688539399999996E-3</v>
      </c>
      <c r="I231" s="90">
        <f>AVERAGE(I199:I229)</f>
        <v>19.423322903225806</v>
      </c>
      <c r="J231" s="21" t="s">
        <v>206</v>
      </c>
      <c r="K231" s="32">
        <f t="shared" si="21"/>
        <v>2.1682808214094789E-3</v>
      </c>
      <c r="L231" s="32">
        <f t="shared" si="22"/>
        <v>2.2991303783862303E-3</v>
      </c>
      <c r="N231" s="21">
        <f>1/H$232*H231</f>
        <v>0.66795723565666543</v>
      </c>
      <c r="P231" s="9"/>
    </row>
    <row r="232" spans="1:21" x14ac:dyDescent="0.15">
      <c r="A232" s="107"/>
      <c r="B232" s="10"/>
      <c r="C232" s="10"/>
      <c r="D232" s="68" t="s">
        <v>111</v>
      </c>
      <c r="E232" s="51">
        <v>0.89984193999999995</v>
      </c>
      <c r="F232" s="22" t="s">
        <v>64</v>
      </c>
      <c r="G232" s="23"/>
      <c r="H232" s="70">
        <f>SUM(H230:H231)</f>
        <v>3.0972850199999995E-3</v>
      </c>
      <c r="I232" s="90">
        <f>AVERAGE(I230:I231)</f>
        <v>19.423322903225806</v>
      </c>
      <c r="J232" s="21" t="s">
        <v>206</v>
      </c>
      <c r="K232" s="72">
        <f t="shared" si="21"/>
        <v>3.2461371861296669E-3</v>
      </c>
      <c r="L232" s="72">
        <f t="shared" si="22"/>
        <v>3.4420322973610228E-3</v>
      </c>
      <c r="P232" s="9"/>
    </row>
    <row r="233" spans="1:21" s="2" customFormat="1" x14ac:dyDescent="0.15">
      <c r="A233" s="15"/>
      <c r="B233" s="15"/>
      <c r="C233" s="15"/>
      <c r="D233" s="18"/>
      <c r="E233" s="14"/>
      <c r="F233" s="15"/>
      <c r="G233" s="14"/>
      <c r="H233" s="14"/>
      <c r="I233" s="87"/>
      <c r="J233" s="14"/>
      <c r="K233" s="15"/>
      <c r="L233" s="15"/>
      <c r="M233" s="15"/>
      <c r="P233" s="49"/>
      <c r="U233" s="18"/>
    </row>
    <row r="234" spans="1:21" s="2" customFormat="1" x14ac:dyDescent="0.15">
      <c r="A234" s="15"/>
      <c r="B234" s="15"/>
      <c r="C234" s="15"/>
      <c r="D234" s="18"/>
      <c r="E234" s="14"/>
      <c r="F234" s="15"/>
      <c r="G234" s="14"/>
      <c r="H234" s="14"/>
      <c r="I234" s="87"/>
      <c r="J234" s="14"/>
      <c r="K234" s="15"/>
      <c r="L234" s="15"/>
      <c r="M234" s="15"/>
      <c r="P234" s="49"/>
      <c r="U234" s="18"/>
    </row>
    <row r="235" spans="1:21" x14ac:dyDescent="0.15">
      <c r="A235" s="47" t="s">
        <v>36</v>
      </c>
      <c r="B235" s="48" t="s">
        <v>60</v>
      </c>
      <c r="C235" s="48" t="s">
        <v>55</v>
      </c>
      <c r="D235" s="20" t="s">
        <v>8</v>
      </c>
      <c r="E235" s="21">
        <v>17.100000000000001</v>
      </c>
      <c r="F235" s="43" t="s">
        <v>37</v>
      </c>
      <c r="G235" s="3">
        <v>9.1499999999999998E-2</v>
      </c>
      <c r="H235" s="4">
        <v>1.9199999999999998E-2</v>
      </c>
      <c r="I235" s="83">
        <v>0</v>
      </c>
      <c r="J235" s="1" t="s">
        <v>223</v>
      </c>
      <c r="K235" s="32">
        <f t="shared" ref="K235:K268" si="24">H235*COS(RADIANS(I235))/E235</f>
        <v>1.1228070175438593E-3</v>
      </c>
      <c r="L235" s="32">
        <f t="shared" si="22"/>
        <v>1.1228070175438593E-3</v>
      </c>
      <c r="M235" s="32">
        <f t="shared" ref="M235:M255" si="25">G235/(E235^0.33)</f>
        <v>3.5853567692678091E-2</v>
      </c>
      <c r="N235" s="36">
        <v>1.1228070175438593E-3</v>
      </c>
      <c r="P235" s="22"/>
    </row>
    <row r="236" spans="1:21" x14ac:dyDescent="0.15">
      <c r="D236" s="20" t="s">
        <v>8</v>
      </c>
      <c r="E236" s="21">
        <v>17.100000000000001</v>
      </c>
      <c r="F236" s="33" t="s">
        <v>38</v>
      </c>
      <c r="G236" s="3">
        <v>0.1208</v>
      </c>
      <c r="H236" s="4">
        <v>7.5399999999999998E-3</v>
      </c>
      <c r="I236" s="83">
        <v>0</v>
      </c>
      <c r="J236" s="1" t="s">
        <v>223</v>
      </c>
      <c r="K236" s="33">
        <f t="shared" si="24"/>
        <v>4.4093567251461983E-4</v>
      </c>
      <c r="L236" s="33">
        <f t="shared" si="22"/>
        <v>4.4093567251461983E-4</v>
      </c>
      <c r="M236" s="33">
        <f t="shared" si="25"/>
        <v>4.7334546199732389E-2</v>
      </c>
      <c r="N236" s="8">
        <v>1.9293995480942168E-4</v>
      </c>
      <c r="P236" s="22"/>
    </row>
    <row r="237" spans="1:21" x14ac:dyDescent="0.15">
      <c r="D237" s="20" t="s">
        <v>8</v>
      </c>
      <c r="E237" s="21">
        <v>17.100000000000001</v>
      </c>
      <c r="F237" s="22" t="s">
        <v>39</v>
      </c>
      <c r="G237" s="3">
        <f>AVERAGE(G235:G236)</f>
        <v>0.10614999999999999</v>
      </c>
      <c r="H237" s="4">
        <f>SUM(H235:H236)</f>
        <v>2.674E-2</v>
      </c>
      <c r="I237" s="83">
        <f>AVERAGE(I235:I236)</f>
        <v>0</v>
      </c>
      <c r="J237" s="1" t="s">
        <v>223</v>
      </c>
      <c r="K237" s="22">
        <f t="shared" si="24"/>
        <v>1.5637426900584795E-3</v>
      </c>
      <c r="L237" s="22">
        <f t="shared" si="22"/>
        <v>1.5637426900584795E-3</v>
      </c>
      <c r="M237" s="22">
        <f t="shared" si="25"/>
        <v>4.1594056946205236E-2</v>
      </c>
      <c r="N237" s="8">
        <v>1.2085190688459633E-3</v>
      </c>
      <c r="P237" s="22"/>
    </row>
    <row r="238" spans="1:21" x14ac:dyDescent="0.15">
      <c r="D238" s="20" t="s">
        <v>11</v>
      </c>
      <c r="E238" s="21">
        <v>90</v>
      </c>
      <c r="F238" s="32" t="s">
        <v>37</v>
      </c>
      <c r="G238" s="3">
        <v>0.1196</v>
      </c>
      <c r="H238" s="4">
        <v>1.8599999999999998E-2</v>
      </c>
      <c r="I238" s="83">
        <v>21</v>
      </c>
      <c r="J238" s="1" t="s">
        <v>223</v>
      </c>
      <c r="K238" s="32">
        <f t="shared" si="24"/>
        <v>1.9293995480942168E-4</v>
      </c>
      <c r="L238" s="32">
        <f t="shared" si="22"/>
        <v>2.0666666666666666E-4</v>
      </c>
      <c r="M238" s="43">
        <f t="shared" si="25"/>
        <v>2.7091381468386678E-2</v>
      </c>
      <c r="N238" s="8">
        <v>1.0169675090252709E-3</v>
      </c>
      <c r="P238" s="22"/>
    </row>
    <row r="239" spans="1:21" x14ac:dyDescent="0.15">
      <c r="D239" s="26" t="s">
        <v>11</v>
      </c>
      <c r="E239" s="25">
        <v>90</v>
      </c>
      <c r="F239" s="33" t="s">
        <v>38</v>
      </c>
      <c r="G239" s="6">
        <v>0.1318</v>
      </c>
      <c r="H239" s="7">
        <v>2.699E-2</v>
      </c>
      <c r="I239" s="88">
        <v>0</v>
      </c>
      <c r="J239" s="1" t="s">
        <v>223</v>
      </c>
      <c r="K239" s="34">
        <f t="shared" si="24"/>
        <v>2.9988888888888887E-4</v>
      </c>
      <c r="L239" s="34">
        <f t="shared" si="22"/>
        <v>2.9988888888888887E-4</v>
      </c>
      <c r="M239" s="33">
        <f t="shared" si="25"/>
        <v>2.9854883591416088E-2</v>
      </c>
      <c r="N239" s="13">
        <v>9.6402877697841728E-4</v>
      </c>
      <c r="P239" s="22"/>
    </row>
    <row r="240" spans="1:21" x14ac:dyDescent="0.15">
      <c r="D240" s="26" t="s">
        <v>11</v>
      </c>
      <c r="E240" s="21">
        <v>90</v>
      </c>
      <c r="F240" s="22" t="s">
        <v>39</v>
      </c>
      <c r="G240" s="3">
        <f>AVERAGE(G238:G239)</f>
        <v>0.12570000000000001</v>
      </c>
      <c r="H240" s="4">
        <f>SUM(H238:H239)</f>
        <v>4.5589999999999999E-2</v>
      </c>
      <c r="I240" s="83">
        <f>AVERAGE(I238:I239)</f>
        <v>10.5</v>
      </c>
      <c r="J240" s="1" t="s">
        <v>223</v>
      </c>
      <c r="K240" s="22">
        <f t="shared" si="24"/>
        <v>4.980732359537854E-4</v>
      </c>
      <c r="L240" s="22">
        <f t="shared" si="22"/>
        <v>5.0655555555555556E-4</v>
      </c>
      <c r="M240" s="22">
        <f t="shared" si="25"/>
        <v>2.8473132529901385E-2</v>
      </c>
      <c r="N240" s="13">
        <v>1.0977922077922079E-3</v>
      </c>
      <c r="P240" s="22"/>
    </row>
    <row r="241" spans="4:16" x14ac:dyDescent="0.15">
      <c r="D241" s="20" t="s">
        <v>12</v>
      </c>
      <c r="E241" s="21">
        <v>20.190000000000001</v>
      </c>
      <c r="F241" s="32" t="s">
        <v>37</v>
      </c>
      <c r="G241" s="3">
        <v>8.4739999999999996E-2</v>
      </c>
      <c r="H241" s="4">
        <v>2.4400000000000002E-2</v>
      </c>
      <c r="I241" s="84">
        <v>0</v>
      </c>
      <c r="J241" s="1" t="s">
        <v>223</v>
      </c>
      <c r="K241" s="32">
        <f t="shared" si="24"/>
        <v>1.2085190688459633E-3</v>
      </c>
      <c r="L241" s="32">
        <f t="shared" si="22"/>
        <v>1.2085190688459633E-3</v>
      </c>
      <c r="M241" s="43">
        <f t="shared" si="25"/>
        <v>3.1433553102135858E-2</v>
      </c>
      <c r="N241" s="8">
        <v>1.12973419338992E-3</v>
      </c>
      <c r="P241" s="22"/>
    </row>
    <row r="242" spans="4:16" x14ac:dyDescent="0.15">
      <c r="D242" s="20" t="s">
        <v>12</v>
      </c>
      <c r="E242" s="21">
        <v>20.190000000000001</v>
      </c>
      <c r="F242" s="33" t="s">
        <v>38</v>
      </c>
      <c r="G242" s="3">
        <v>7.6960000000000001E-2</v>
      </c>
      <c r="H242" s="4">
        <v>6.1999999999999998E-3</v>
      </c>
      <c r="I242" s="84">
        <v>0</v>
      </c>
      <c r="J242" s="1" t="s">
        <v>223</v>
      </c>
      <c r="K242" s="33">
        <f t="shared" si="24"/>
        <v>3.0708271421495787E-4</v>
      </c>
      <c r="L242" s="33">
        <f t="shared" si="22"/>
        <v>3.0708271421495787E-4</v>
      </c>
      <c r="M242" s="33">
        <f t="shared" si="25"/>
        <v>2.8547630950441064E-2</v>
      </c>
      <c r="N242" s="37">
        <v>4.4093567251461983E-4</v>
      </c>
      <c r="P242" s="22"/>
    </row>
    <row r="243" spans="4:16" x14ac:dyDescent="0.15">
      <c r="D243" s="20" t="s">
        <v>12</v>
      </c>
      <c r="E243" s="21">
        <v>20.190000000000001</v>
      </c>
      <c r="F243" s="22" t="s">
        <v>39</v>
      </c>
      <c r="G243" s="3">
        <f>AVERAGE(G241:G242)</f>
        <v>8.0850000000000005E-2</v>
      </c>
      <c r="H243" s="4">
        <f>SUM(H241:H242)</f>
        <v>3.0600000000000002E-2</v>
      </c>
      <c r="I243" s="83">
        <f>AVERAGE(I241:I242)</f>
        <v>0</v>
      </c>
      <c r="J243" s="1" t="s">
        <v>223</v>
      </c>
      <c r="K243" s="22">
        <f t="shared" si="24"/>
        <v>1.5156017830609213E-3</v>
      </c>
      <c r="L243" s="22">
        <f t="shared" si="22"/>
        <v>1.5156017830609213E-3</v>
      </c>
      <c r="M243" s="22">
        <f t="shared" si="25"/>
        <v>2.9990592026288464E-2</v>
      </c>
      <c r="N243" s="12">
        <v>2.9988888888888887E-4</v>
      </c>
      <c r="P243" s="22"/>
    </row>
    <row r="244" spans="4:16" x14ac:dyDescent="0.15">
      <c r="D244" s="20" t="s">
        <v>13</v>
      </c>
      <c r="E244" s="21">
        <v>27.7</v>
      </c>
      <c r="F244" s="32" t="s">
        <v>37</v>
      </c>
      <c r="G244" s="3">
        <v>0.14119999999999999</v>
      </c>
      <c r="H244" s="4">
        <v>2.8170000000000001E-2</v>
      </c>
      <c r="I244" s="83">
        <v>0</v>
      </c>
      <c r="J244" s="1" t="s">
        <v>223</v>
      </c>
      <c r="K244" s="32">
        <f t="shared" si="24"/>
        <v>1.0169675090252709E-3</v>
      </c>
      <c r="L244" s="32">
        <f t="shared" si="22"/>
        <v>1.0169675090252709E-3</v>
      </c>
      <c r="M244" s="43">
        <f t="shared" si="25"/>
        <v>4.7186348719079972E-2</v>
      </c>
      <c r="N244" s="11">
        <v>3.0708271421495787E-4</v>
      </c>
      <c r="P244" s="22"/>
    </row>
    <row r="245" spans="4:16" x14ac:dyDescent="0.15">
      <c r="D245" s="20" t="s">
        <v>13</v>
      </c>
      <c r="E245" s="21">
        <v>27.7</v>
      </c>
      <c r="F245" s="33" t="s">
        <v>38</v>
      </c>
      <c r="G245" s="3">
        <v>0.13</v>
      </c>
      <c r="H245" s="4">
        <v>5.3699999999999998E-3</v>
      </c>
      <c r="I245" s="83">
        <v>0</v>
      </c>
      <c r="J245" s="1" t="s">
        <v>223</v>
      </c>
      <c r="K245" s="33">
        <f t="shared" si="24"/>
        <v>1.9386281588447654E-4</v>
      </c>
      <c r="L245" s="33">
        <f t="shared" si="22"/>
        <v>1.9386281588447654E-4</v>
      </c>
      <c r="M245" s="33">
        <f t="shared" si="25"/>
        <v>4.3443522191787515E-2</v>
      </c>
      <c r="N245" s="11">
        <v>1.9386281588447654E-4</v>
      </c>
      <c r="P245" s="22"/>
    </row>
    <row r="246" spans="4:16" x14ac:dyDescent="0.15">
      <c r="D246" s="20" t="s">
        <v>13</v>
      </c>
      <c r="E246" s="21">
        <v>27.7</v>
      </c>
      <c r="F246" s="22" t="s">
        <v>39</v>
      </c>
      <c r="G246" s="3">
        <f>AVERAGE(G244:G245)</f>
        <v>0.1356</v>
      </c>
      <c r="H246" s="4">
        <f>SUM(H244:H245)</f>
        <v>3.354E-2</v>
      </c>
      <c r="I246" s="83">
        <f>AVERAGE(I244:I245)</f>
        <v>0</v>
      </c>
      <c r="J246" s="1" t="s">
        <v>223</v>
      </c>
      <c r="K246" s="22">
        <f t="shared" si="24"/>
        <v>1.2108303249097473E-3</v>
      </c>
      <c r="L246" s="22">
        <f t="shared" si="22"/>
        <v>1.2108303249097473E-3</v>
      </c>
      <c r="M246" s="22">
        <f t="shared" si="25"/>
        <v>4.531493545543374E-2</v>
      </c>
      <c r="N246" s="12">
        <v>1.7841726618705034E-4</v>
      </c>
      <c r="P246" s="22"/>
    </row>
    <row r="247" spans="4:16" x14ac:dyDescent="0.15">
      <c r="D247" s="26" t="s">
        <v>14</v>
      </c>
      <c r="E247" s="25">
        <v>278</v>
      </c>
      <c r="F247" s="32" t="s">
        <v>37</v>
      </c>
      <c r="G247" s="6">
        <v>0.151</v>
      </c>
      <c r="H247" s="7">
        <v>0.26800000000000002</v>
      </c>
      <c r="I247" s="88">
        <v>0</v>
      </c>
      <c r="J247" s="1" t="s">
        <v>223</v>
      </c>
      <c r="K247" s="35">
        <f t="shared" si="24"/>
        <v>9.6402877697841728E-4</v>
      </c>
      <c r="L247" s="35">
        <f t="shared" si="22"/>
        <v>9.6402877697841728E-4</v>
      </c>
      <c r="M247" s="43">
        <f t="shared" si="25"/>
        <v>2.3574482317013375E-2</v>
      </c>
      <c r="N247" s="12">
        <v>4.6311688311688313E-4</v>
      </c>
      <c r="P247" s="22"/>
    </row>
    <row r="248" spans="4:16" x14ac:dyDescent="0.15">
      <c r="D248" s="26" t="s">
        <v>14</v>
      </c>
      <c r="E248" s="25">
        <v>278</v>
      </c>
      <c r="F248" s="33" t="s">
        <v>38</v>
      </c>
      <c r="G248" s="6">
        <v>0.19900000000000001</v>
      </c>
      <c r="H248" s="7">
        <v>4.9599999999999998E-2</v>
      </c>
      <c r="I248" s="88">
        <v>0</v>
      </c>
      <c r="J248" s="1" t="s">
        <v>223</v>
      </c>
      <c r="K248" s="34">
        <f t="shared" si="24"/>
        <v>1.7841726618705034E-4</v>
      </c>
      <c r="L248" s="34">
        <f t="shared" si="22"/>
        <v>1.7841726618705034E-4</v>
      </c>
      <c r="M248" s="33">
        <f t="shared" si="25"/>
        <v>3.1068357490633521E-2</v>
      </c>
      <c r="N248" s="11">
        <v>1.9229729729729729E-4</v>
      </c>
      <c r="P248" s="22"/>
    </row>
    <row r="249" spans="4:16" x14ac:dyDescent="0.15">
      <c r="D249" s="26" t="s">
        <v>14</v>
      </c>
      <c r="E249" s="25">
        <v>278</v>
      </c>
      <c r="F249" s="22" t="s">
        <v>39</v>
      </c>
      <c r="G249" s="3">
        <f>AVERAGE(G247:G248)</f>
        <v>0.17499999999999999</v>
      </c>
      <c r="H249" s="4">
        <f>SUM(H247:H248)</f>
        <v>0.31759999999999999</v>
      </c>
      <c r="I249" s="83">
        <f>AVERAGE(I247:I248)</f>
        <v>0</v>
      </c>
      <c r="J249" s="1" t="s">
        <v>223</v>
      </c>
      <c r="K249" s="22">
        <f t="shared" si="24"/>
        <v>1.1424460431654676E-3</v>
      </c>
      <c r="L249" s="22">
        <f t="shared" si="22"/>
        <v>1.1424460431654676E-3</v>
      </c>
      <c r="M249" s="22">
        <f t="shared" si="25"/>
        <v>2.7321419903823446E-2</v>
      </c>
      <c r="N249" s="9">
        <v>1.5637426900584795E-3</v>
      </c>
      <c r="P249" s="22"/>
    </row>
    <row r="250" spans="4:16" x14ac:dyDescent="0.15">
      <c r="D250" s="26" t="s">
        <v>15</v>
      </c>
      <c r="E250" s="25">
        <v>7.7</v>
      </c>
      <c r="F250" s="32" t="s">
        <v>37</v>
      </c>
      <c r="G250" s="6">
        <v>8.1199999999999994E-2</v>
      </c>
      <c r="H250" s="7">
        <v>8.4530000000000004E-3</v>
      </c>
      <c r="I250" s="88">
        <v>0</v>
      </c>
      <c r="J250" s="1" t="s">
        <v>223</v>
      </c>
      <c r="K250" s="35">
        <f t="shared" si="24"/>
        <v>1.0977922077922079E-3</v>
      </c>
      <c r="L250" s="35">
        <f t="shared" si="22"/>
        <v>1.0977922077922079E-3</v>
      </c>
      <c r="M250" s="43">
        <f t="shared" si="25"/>
        <v>4.1401310654191184E-2</v>
      </c>
      <c r="N250" s="9">
        <v>4.980732359537854E-4</v>
      </c>
      <c r="P250" s="22"/>
    </row>
    <row r="251" spans="4:16" x14ac:dyDescent="0.15">
      <c r="D251" s="26" t="s">
        <v>15</v>
      </c>
      <c r="E251" s="25">
        <v>7.7</v>
      </c>
      <c r="F251" s="33" t="s">
        <v>38</v>
      </c>
      <c r="G251" s="6">
        <v>0.05</v>
      </c>
      <c r="H251" s="7">
        <v>3.5660000000000002E-3</v>
      </c>
      <c r="I251" s="88">
        <v>0</v>
      </c>
      <c r="J251" s="1" t="s">
        <v>223</v>
      </c>
      <c r="K251" s="34">
        <f t="shared" si="24"/>
        <v>4.6311688311688313E-4</v>
      </c>
      <c r="L251" s="34">
        <f t="shared" si="22"/>
        <v>4.6311688311688313E-4</v>
      </c>
      <c r="M251" s="33">
        <f t="shared" si="25"/>
        <v>2.5493417890511814E-2</v>
      </c>
      <c r="N251" s="9">
        <v>1.5156017830609213E-3</v>
      </c>
      <c r="P251" s="22"/>
    </row>
    <row r="252" spans="4:16" x14ac:dyDescent="0.15">
      <c r="D252" s="26" t="s">
        <v>15</v>
      </c>
      <c r="E252" s="25">
        <v>7.7</v>
      </c>
      <c r="F252" s="22" t="s">
        <v>39</v>
      </c>
      <c r="G252" s="3">
        <f>AVERAGE(G250:G251)</f>
        <v>6.5599999999999992E-2</v>
      </c>
      <c r="H252" s="4">
        <f>SUM(H250:H251)</f>
        <v>1.2019E-2</v>
      </c>
      <c r="I252" s="83">
        <f>AVERAGE(I250:I251)</f>
        <v>0</v>
      </c>
      <c r="J252" s="1" t="s">
        <v>223</v>
      </c>
      <c r="K252" s="22">
        <f t="shared" si="24"/>
        <v>1.5609090909090909E-3</v>
      </c>
      <c r="L252" s="22">
        <f t="shared" si="22"/>
        <v>1.5609090909090909E-3</v>
      </c>
      <c r="M252" s="22">
        <f t="shared" si="25"/>
        <v>3.3447364272351496E-2</v>
      </c>
      <c r="N252" s="9">
        <v>1.2108303249097473E-3</v>
      </c>
      <c r="P252" s="22"/>
    </row>
    <row r="253" spans="4:16" x14ac:dyDescent="0.15">
      <c r="D253" s="20" t="s">
        <v>14</v>
      </c>
      <c r="E253" s="21">
        <v>3.7</v>
      </c>
      <c r="F253" s="32" t="s">
        <v>37</v>
      </c>
      <c r="G253" s="3">
        <v>6.2753000000000003E-2</v>
      </c>
      <c r="H253" s="4">
        <v>4.1920000000000004E-3</v>
      </c>
      <c r="I253" s="83">
        <v>4.3333329999999997</v>
      </c>
      <c r="J253" s="1" t="s">
        <v>222</v>
      </c>
      <c r="K253" s="32">
        <f t="shared" si="24"/>
        <v>1.12973419338992E-3</v>
      </c>
      <c r="L253" s="32">
        <f t="shared" si="22"/>
        <v>1.1329729729729731E-3</v>
      </c>
      <c r="M253" s="43">
        <f t="shared" si="25"/>
        <v>4.0750029155111389E-2</v>
      </c>
      <c r="N253" s="9">
        <v>1.1424460431654676E-3</v>
      </c>
      <c r="P253" s="22"/>
    </row>
    <row r="254" spans="4:16" x14ac:dyDescent="0.15">
      <c r="D254" s="20" t="s">
        <v>14</v>
      </c>
      <c r="E254" s="21">
        <v>3.7</v>
      </c>
      <c r="F254" s="33" t="s">
        <v>38</v>
      </c>
      <c r="G254" s="3">
        <v>7.0457000000000006E-2</v>
      </c>
      <c r="H254" s="4">
        <v>7.115E-4</v>
      </c>
      <c r="I254" s="83">
        <v>0</v>
      </c>
      <c r="J254" s="1" t="s">
        <v>222</v>
      </c>
      <c r="K254" s="33">
        <f t="shared" si="24"/>
        <v>1.9229729729729729E-4</v>
      </c>
      <c r="L254" s="33">
        <f t="shared" si="22"/>
        <v>1.9229729729729729E-4</v>
      </c>
      <c r="M254" s="33">
        <f t="shared" si="25"/>
        <v>4.5752789574708512E-2</v>
      </c>
      <c r="N254" s="9">
        <v>1.5609090909090909E-3</v>
      </c>
      <c r="P254" s="22"/>
    </row>
    <row r="255" spans="4:16" x14ac:dyDescent="0.15">
      <c r="D255" s="20" t="s">
        <v>14</v>
      </c>
      <c r="E255" s="21">
        <v>3.7</v>
      </c>
      <c r="F255" s="22" t="s">
        <v>39</v>
      </c>
      <c r="G255" s="3">
        <f>AVERAGE(G253:G254)</f>
        <v>6.6604999999999998E-2</v>
      </c>
      <c r="H255" s="4">
        <f>SUM(H253:H254)</f>
        <v>4.9035000000000007E-3</v>
      </c>
      <c r="I255" s="83">
        <f>AVERAGE(I253:I254)</f>
        <v>2.1666664999999998</v>
      </c>
      <c r="J255" s="1" t="s">
        <v>222</v>
      </c>
      <c r="K255" s="22">
        <f t="shared" si="24"/>
        <v>1.3243228087566332E-3</v>
      </c>
      <c r="L255" s="22">
        <f t="shared" si="22"/>
        <v>1.3252702702702705E-3</v>
      </c>
      <c r="M255" s="22">
        <f t="shared" si="25"/>
        <v>4.3251409364909947E-2</v>
      </c>
      <c r="N255" s="9">
        <v>1.3243228087566332E-3</v>
      </c>
      <c r="P255" s="22"/>
    </row>
    <row r="256" spans="4:16" x14ac:dyDescent="0.15">
      <c r="D256" s="20" t="s">
        <v>23</v>
      </c>
      <c r="E256" s="21">
        <v>0.443</v>
      </c>
      <c r="F256" s="22" t="s">
        <v>40</v>
      </c>
      <c r="G256" s="3" t="s">
        <v>35</v>
      </c>
      <c r="H256" s="53">
        <f>0.111*E256/100</f>
        <v>4.9173000000000001E-4</v>
      </c>
      <c r="I256" s="83">
        <v>0</v>
      </c>
      <c r="J256" s="28" t="s">
        <v>20</v>
      </c>
      <c r="K256" s="22">
        <f t="shared" si="24"/>
        <v>1.1100000000000001E-3</v>
      </c>
      <c r="L256" s="22">
        <f t="shared" si="22"/>
        <v>1.1100000000000001E-3</v>
      </c>
      <c r="M256" s="108">
        <v>0</v>
      </c>
      <c r="N256" s="9"/>
      <c r="P256" s="9"/>
    </row>
    <row r="257" spans="1:16" x14ac:dyDescent="0.15">
      <c r="D257" s="20" t="s">
        <v>24</v>
      </c>
      <c r="E257" s="21">
        <v>36.667000000000002</v>
      </c>
      <c r="F257" s="22" t="s">
        <v>40</v>
      </c>
      <c r="G257" s="3">
        <f>3.897*E257^(0.33)/100</f>
        <v>0.12792083356298978</v>
      </c>
      <c r="H257" s="53">
        <f>0.265*E257/100</f>
        <v>9.7167550000000005E-2</v>
      </c>
      <c r="I257" s="83">
        <v>0</v>
      </c>
      <c r="J257" s="28" t="s">
        <v>20</v>
      </c>
      <c r="K257" s="22">
        <f t="shared" si="24"/>
        <v>2.65E-3</v>
      </c>
      <c r="L257" s="22">
        <f t="shared" si="22"/>
        <v>2.65E-3</v>
      </c>
      <c r="M257" s="22">
        <f>G257/(E257^0.33)</f>
        <v>3.8969999999999998E-2</v>
      </c>
      <c r="N257" s="9"/>
      <c r="P257" s="9"/>
    </row>
    <row r="258" spans="1:16" x14ac:dyDescent="0.15">
      <c r="D258" s="20" t="s">
        <v>25</v>
      </c>
      <c r="E258" s="21">
        <v>1.609</v>
      </c>
      <c r="F258" s="22" t="s">
        <v>40</v>
      </c>
      <c r="G258" s="3">
        <f>3.769*E258^(0.33)/100</f>
        <v>4.409502894318619E-2</v>
      </c>
      <c r="H258" s="53">
        <f>0.204*E258/100</f>
        <v>3.2823599999999998E-3</v>
      </c>
      <c r="I258" s="83">
        <v>0</v>
      </c>
      <c r="J258" s="28" t="s">
        <v>20</v>
      </c>
      <c r="K258" s="22">
        <f t="shared" si="24"/>
        <v>2.0399999999999997E-3</v>
      </c>
      <c r="L258" s="22">
        <f t="shared" si="22"/>
        <v>2.0399999999999997E-3</v>
      </c>
      <c r="M258" s="22">
        <f>G258/(E258^0.33)</f>
        <v>3.7690000000000001E-2</v>
      </c>
      <c r="N258" s="9"/>
      <c r="P258" s="9"/>
    </row>
    <row r="259" spans="1:16" x14ac:dyDescent="0.15">
      <c r="D259" s="20" t="s">
        <v>26</v>
      </c>
      <c r="E259" s="21">
        <v>0.158</v>
      </c>
      <c r="F259" s="22" t="s">
        <v>40</v>
      </c>
      <c r="G259" s="3" t="s">
        <v>35</v>
      </c>
      <c r="H259" s="53">
        <f>0.073*E259/100</f>
        <v>1.1533999999999999E-4</v>
      </c>
      <c r="I259" s="83">
        <v>0</v>
      </c>
      <c r="J259" s="28" t="s">
        <v>20</v>
      </c>
      <c r="K259" s="22">
        <f t="shared" si="24"/>
        <v>7.2999999999999996E-4</v>
      </c>
      <c r="L259" s="22">
        <f t="shared" si="22"/>
        <v>7.2999999999999996E-4</v>
      </c>
      <c r="M259" s="108">
        <v>0</v>
      </c>
      <c r="N259" s="9"/>
    </row>
    <row r="260" spans="1:16" x14ac:dyDescent="0.15">
      <c r="D260" s="20" t="s">
        <v>27</v>
      </c>
      <c r="E260" s="21">
        <v>0.158</v>
      </c>
      <c r="F260" s="22" t="s">
        <v>40</v>
      </c>
      <c r="G260" s="3">
        <f>3.596*E260^(0.33)/100</f>
        <v>1.9560345507596447E-2</v>
      </c>
      <c r="H260" s="53">
        <f>0.141*E260/100</f>
        <v>2.2278E-4</v>
      </c>
      <c r="I260" s="83">
        <v>0</v>
      </c>
      <c r="J260" s="28" t="s">
        <v>20</v>
      </c>
      <c r="K260" s="22">
        <f t="shared" si="24"/>
        <v>1.41E-3</v>
      </c>
      <c r="L260" s="22">
        <f t="shared" si="22"/>
        <v>1.41E-3</v>
      </c>
      <c r="M260" s="22">
        <f t="shared" ref="M260:M265" si="26">G260/(E260^0.33)</f>
        <v>3.5959999999999999E-2</v>
      </c>
      <c r="N260" s="9"/>
    </row>
    <row r="261" spans="1:16" x14ac:dyDescent="0.15">
      <c r="D261" s="20" t="s">
        <v>28</v>
      </c>
      <c r="E261" s="21">
        <v>2.6230000000000002</v>
      </c>
      <c r="F261" s="22" t="s">
        <v>40</v>
      </c>
      <c r="G261" s="3">
        <f>3.3*E261^(0.33)/100</f>
        <v>4.5364630282964821E-2</v>
      </c>
      <c r="H261" s="53">
        <f>0.216*E261/100</f>
        <v>5.6656800000000011E-3</v>
      </c>
      <c r="I261" s="83">
        <v>0</v>
      </c>
      <c r="J261" s="28" t="s">
        <v>20</v>
      </c>
      <c r="K261" s="22">
        <f t="shared" si="24"/>
        <v>2.16E-3</v>
      </c>
      <c r="L261" s="22">
        <f t="shared" ref="L261:L324" si="27">H261/E261</f>
        <v>2.16E-3</v>
      </c>
      <c r="M261" s="22">
        <f t="shared" si="26"/>
        <v>3.2999999999999995E-2</v>
      </c>
      <c r="N261" s="9"/>
    </row>
    <row r="262" spans="1:16" x14ac:dyDescent="0.15">
      <c r="D262" s="20" t="s">
        <v>41</v>
      </c>
      <c r="E262" s="21">
        <v>9.7070000000000004E-2</v>
      </c>
      <c r="F262" s="22" t="s">
        <v>46</v>
      </c>
      <c r="G262" s="3">
        <v>8.5120000000000005E-3</v>
      </c>
      <c r="H262" s="4">
        <v>4.46E-5</v>
      </c>
      <c r="I262" s="83">
        <v>0</v>
      </c>
      <c r="J262" s="28" t="s">
        <v>43</v>
      </c>
      <c r="K262" s="21">
        <f t="shared" si="24"/>
        <v>4.5946224374162974E-4</v>
      </c>
      <c r="L262" s="21">
        <f t="shared" si="27"/>
        <v>4.5946224374162974E-4</v>
      </c>
      <c r="M262" s="22">
        <f t="shared" si="26"/>
        <v>1.8377801449492907E-2</v>
      </c>
    </row>
    <row r="263" spans="1:16" x14ac:dyDescent="0.15">
      <c r="D263" s="20" t="s">
        <v>41</v>
      </c>
      <c r="E263" s="21">
        <v>0.10265000000000001</v>
      </c>
      <c r="F263" s="22" t="s">
        <v>46</v>
      </c>
      <c r="G263" s="3">
        <v>1.3979999999999999E-2</v>
      </c>
      <c r="H263" s="4">
        <v>6.8800000000000005E-5</v>
      </c>
      <c r="I263" s="83">
        <v>0</v>
      </c>
      <c r="J263" s="28" t="s">
        <v>43</v>
      </c>
      <c r="K263" s="21">
        <f t="shared" si="24"/>
        <v>6.702386751095957E-4</v>
      </c>
      <c r="L263" s="21">
        <f t="shared" si="27"/>
        <v>6.702386751095957E-4</v>
      </c>
      <c r="M263" s="22">
        <f t="shared" si="26"/>
        <v>2.9631846597387136E-2</v>
      </c>
    </row>
    <row r="264" spans="1:16" x14ac:dyDescent="0.15">
      <c r="D264" s="20" t="s">
        <v>42</v>
      </c>
      <c r="E264" s="21">
        <v>5.7000000000000002E-2</v>
      </c>
      <c r="F264" s="22" t="s">
        <v>46</v>
      </c>
      <c r="G264" s="3">
        <v>7.5370000000000003E-3</v>
      </c>
      <c r="H264" s="4">
        <v>2.16E-5</v>
      </c>
      <c r="I264" s="83">
        <v>0</v>
      </c>
      <c r="J264" s="28" t="s">
        <v>43</v>
      </c>
      <c r="K264" s="21">
        <f t="shared" si="24"/>
        <v>3.7894736842105259E-4</v>
      </c>
      <c r="L264" s="21">
        <f t="shared" si="27"/>
        <v>3.7894736842105259E-4</v>
      </c>
      <c r="M264" s="22">
        <f t="shared" si="26"/>
        <v>1.939812765029137E-2</v>
      </c>
    </row>
    <row r="265" spans="1:16" x14ac:dyDescent="0.15">
      <c r="D265" s="20" t="s">
        <v>42</v>
      </c>
      <c r="E265" s="21">
        <v>5.1700000000000003E-2</v>
      </c>
      <c r="F265" s="22" t="s">
        <v>46</v>
      </c>
      <c r="G265" s="3">
        <v>6.5589999999999997E-3</v>
      </c>
      <c r="H265" s="4">
        <v>1.8E-5</v>
      </c>
      <c r="I265" s="83">
        <v>0</v>
      </c>
      <c r="J265" s="28" t="s">
        <v>43</v>
      </c>
      <c r="K265" s="21">
        <f t="shared" si="24"/>
        <v>3.4816247582205028E-4</v>
      </c>
      <c r="L265" s="21">
        <f t="shared" si="27"/>
        <v>3.4816247582205028E-4</v>
      </c>
      <c r="M265" s="22">
        <f t="shared" si="26"/>
        <v>1.7433546789649392E-2</v>
      </c>
    </row>
    <row r="266" spans="1:16" x14ac:dyDescent="0.15">
      <c r="A266" s="10"/>
      <c r="D266" s="18" t="s">
        <v>111</v>
      </c>
      <c r="E266" s="21">
        <v>0.89984193999999995</v>
      </c>
      <c r="F266" s="22" t="s">
        <v>37</v>
      </c>
      <c r="G266" s="23"/>
      <c r="H266" s="70">
        <v>1.35594945812E-3</v>
      </c>
      <c r="I266" s="90">
        <f>AVERAGE(I235:I265)</f>
        <v>1.2258064354838707</v>
      </c>
      <c r="J266" s="21" t="s">
        <v>206</v>
      </c>
      <c r="K266" s="72">
        <f t="shared" si="24"/>
        <v>1.5065303005717214E-3</v>
      </c>
      <c r="L266" s="72">
        <f t="shared" si="27"/>
        <v>1.5068751497846389E-3</v>
      </c>
      <c r="N266" s="21">
        <f>1/H$268*H266</f>
        <v>0.44561678052307063</v>
      </c>
    </row>
    <row r="267" spans="1:16" x14ac:dyDescent="0.15">
      <c r="A267" s="10"/>
      <c r="D267" s="18" t="s">
        <v>111</v>
      </c>
      <c r="E267" s="21">
        <v>0.89984193999999995</v>
      </c>
      <c r="F267" s="22" t="s">
        <v>38</v>
      </c>
      <c r="G267" s="23"/>
      <c r="H267" s="70">
        <v>1.6869105000000002E-3</v>
      </c>
      <c r="I267" s="90">
        <f>AVERAGE(I235:I265)</f>
        <v>1.2258064354838707</v>
      </c>
      <c r="J267" s="21" t="s">
        <v>206</v>
      </c>
      <c r="K267" s="72">
        <f t="shared" si="24"/>
        <v>1.8742452142177734E-3</v>
      </c>
      <c r="L267" s="72">
        <f t="shared" si="27"/>
        <v>1.874674234454998E-3</v>
      </c>
      <c r="N267" s="21">
        <f>1/H$268*H267</f>
        <v>0.55438321947692937</v>
      </c>
    </row>
    <row r="268" spans="1:16" x14ac:dyDescent="0.15">
      <c r="D268" s="68" t="s">
        <v>111</v>
      </c>
      <c r="E268" s="51">
        <v>0.89984193999999995</v>
      </c>
      <c r="F268" s="22" t="s">
        <v>113</v>
      </c>
      <c r="G268" s="23"/>
      <c r="H268" s="70">
        <f>SUM(H266:H267)</f>
        <v>3.0428599581200002E-3</v>
      </c>
      <c r="I268" s="90">
        <f>AVERAGE(I266:I267)</f>
        <v>1.2258064354838707</v>
      </c>
      <c r="J268" s="21" t="s">
        <v>206</v>
      </c>
      <c r="K268" s="72">
        <f t="shared" si="24"/>
        <v>3.3807755147894948E-3</v>
      </c>
      <c r="L268" s="72">
        <f t="shared" si="27"/>
        <v>3.3815493842396368E-3</v>
      </c>
    </row>
    <row r="269" spans="1:16" x14ac:dyDescent="0.15">
      <c r="I269" s="85"/>
    </row>
    <row r="270" spans="1:16" x14ac:dyDescent="0.15">
      <c r="I270" s="85"/>
    </row>
    <row r="271" spans="1:16" x14ac:dyDescent="0.15">
      <c r="A271" s="47" t="s">
        <v>51</v>
      </c>
      <c r="B271" s="48" t="s">
        <v>60</v>
      </c>
      <c r="C271" s="48" t="s">
        <v>55</v>
      </c>
      <c r="D271" s="20" t="s">
        <v>8</v>
      </c>
      <c r="E271" s="1">
        <v>17.100000000000001</v>
      </c>
      <c r="F271" s="1" t="s">
        <v>51</v>
      </c>
      <c r="G271" s="40">
        <v>0.1038</v>
      </c>
      <c r="H271" s="41">
        <v>9.75E-3</v>
      </c>
      <c r="I271" s="82">
        <v>15</v>
      </c>
      <c r="J271" s="1" t="s">
        <v>223</v>
      </c>
      <c r="K271" s="1">
        <f t="shared" ref="K271:K291" si="28">H271*COS(RADIANS(I271))/E271</f>
        <v>5.5074718165604771E-4</v>
      </c>
      <c r="L271" s="1">
        <f t="shared" si="27"/>
        <v>5.7017543859649118E-4</v>
      </c>
      <c r="M271" s="22">
        <f t="shared" ref="M271:M277" si="29">G271/(E271^0.33)</f>
        <v>4.0673227612021703E-2</v>
      </c>
    </row>
    <row r="272" spans="1:16" x14ac:dyDescent="0.15">
      <c r="D272" s="20" t="s">
        <v>11</v>
      </c>
      <c r="E272" s="1">
        <v>90</v>
      </c>
      <c r="F272" s="1" t="s">
        <v>51</v>
      </c>
      <c r="G272" s="3">
        <v>0.12939999999999999</v>
      </c>
      <c r="H272" s="4">
        <v>5.9110000000000003E-2</v>
      </c>
      <c r="I272" s="83">
        <v>20</v>
      </c>
      <c r="J272" s="1" t="s">
        <v>223</v>
      </c>
      <c r="K272" s="1">
        <f t="shared" si="28"/>
        <v>6.1716923127394508E-4</v>
      </c>
      <c r="L272" s="1">
        <f t="shared" si="27"/>
        <v>6.5677777777777783E-4</v>
      </c>
      <c r="M272" s="22">
        <f t="shared" si="29"/>
        <v>2.931124382950866E-2</v>
      </c>
    </row>
    <row r="273" spans="4:13" x14ac:dyDescent="0.15">
      <c r="D273" s="20" t="s">
        <v>12</v>
      </c>
      <c r="E273" s="1">
        <v>20.190000000000001</v>
      </c>
      <c r="F273" s="1" t="s">
        <v>51</v>
      </c>
      <c r="G273" s="3">
        <v>8.9639999999999997E-2</v>
      </c>
      <c r="H273" s="4">
        <v>8.8000000000000005E-3</v>
      </c>
      <c r="I273" s="84">
        <v>0</v>
      </c>
      <c r="J273" s="1" t="s">
        <v>223</v>
      </c>
      <c r="K273" s="1">
        <f t="shared" si="28"/>
        <v>4.3585933630510153E-4</v>
      </c>
      <c r="L273" s="1">
        <f t="shared" si="27"/>
        <v>4.3585933630510153E-4</v>
      </c>
      <c r="M273" s="22">
        <f t="shared" si="29"/>
        <v>3.3251164740092737E-2</v>
      </c>
    </row>
    <row r="274" spans="4:13" x14ac:dyDescent="0.15">
      <c r="D274" s="20" t="s">
        <v>13</v>
      </c>
      <c r="E274" s="1">
        <v>27.7</v>
      </c>
      <c r="F274" s="1" t="s">
        <v>51</v>
      </c>
      <c r="G274" s="3">
        <v>0.127</v>
      </c>
      <c r="H274" s="4">
        <v>1.372E-2</v>
      </c>
      <c r="I274" s="83">
        <v>0</v>
      </c>
      <c r="J274" s="1" t="s">
        <v>223</v>
      </c>
      <c r="K274" s="1">
        <f t="shared" si="28"/>
        <v>4.9530685920577612E-4</v>
      </c>
      <c r="L274" s="1">
        <f t="shared" si="27"/>
        <v>4.9530685920577612E-4</v>
      </c>
      <c r="M274" s="22">
        <f t="shared" si="29"/>
        <v>4.2440979371977029E-2</v>
      </c>
    </row>
    <row r="275" spans="4:13" x14ac:dyDescent="0.15">
      <c r="D275" s="26" t="s">
        <v>14</v>
      </c>
      <c r="E275" s="42">
        <v>278</v>
      </c>
      <c r="F275" s="1" t="s">
        <v>51</v>
      </c>
      <c r="G275" s="6">
        <v>0.2283</v>
      </c>
      <c r="H275" s="7">
        <v>0.12759999999999999</v>
      </c>
      <c r="I275" s="88">
        <v>10</v>
      </c>
      <c r="J275" s="1" t="s">
        <v>223</v>
      </c>
      <c r="K275" s="1">
        <f t="shared" si="28"/>
        <v>4.5201967368474006E-4</v>
      </c>
      <c r="L275" s="1">
        <f t="shared" si="27"/>
        <v>4.5899280575539565E-4</v>
      </c>
      <c r="M275" s="22">
        <f t="shared" si="29"/>
        <v>3.5642743794530821E-2</v>
      </c>
    </row>
    <row r="276" spans="4:13" x14ac:dyDescent="0.15">
      <c r="D276" s="26" t="s">
        <v>15</v>
      </c>
      <c r="E276" s="42">
        <v>7.7</v>
      </c>
      <c r="F276" s="1" t="s">
        <v>51</v>
      </c>
      <c r="G276" s="6">
        <v>8.8499999999999995E-2</v>
      </c>
      <c r="H276" s="7">
        <v>5.2640000000000004E-3</v>
      </c>
      <c r="I276" s="88">
        <v>0</v>
      </c>
      <c r="J276" s="1" t="s">
        <v>223</v>
      </c>
      <c r="K276" s="1">
        <f t="shared" si="28"/>
        <v>6.8363636363636369E-4</v>
      </c>
      <c r="L276" s="1">
        <f t="shared" si="27"/>
        <v>6.8363636363636369E-4</v>
      </c>
      <c r="M276" s="22">
        <f t="shared" si="29"/>
        <v>4.512334966620591E-2</v>
      </c>
    </row>
    <row r="277" spans="4:13" x14ac:dyDescent="0.15">
      <c r="D277" s="20" t="s">
        <v>14</v>
      </c>
      <c r="E277" s="1">
        <v>3.7</v>
      </c>
      <c r="F277" s="1" t="s">
        <v>51</v>
      </c>
      <c r="G277" s="40">
        <v>5.4884999999999996E-2</v>
      </c>
      <c r="H277" s="41">
        <v>1.5920000000000001E-3</v>
      </c>
      <c r="I277" s="82">
        <v>4.3333333329999997</v>
      </c>
      <c r="J277" s="1" t="s">
        <v>222</v>
      </c>
      <c r="K277" s="1">
        <f t="shared" si="28"/>
        <v>4.2904027554500755E-4</v>
      </c>
      <c r="L277" s="1">
        <f t="shared" si="27"/>
        <v>4.3027027027027026E-4</v>
      </c>
      <c r="M277" s="22">
        <f t="shared" si="29"/>
        <v>3.5640771758773102E-2</v>
      </c>
    </row>
    <row r="278" spans="4:13" x14ac:dyDescent="0.15">
      <c r="D278" s="20" t="s">
        <v>18</v>
      </c>
      <c r="E278" s="21">
        <v>8.9999999999999993E-3</v>
      </c>
      <c r="F278" s="1" t="s">
        <v>51</v>
      </c>
      <c r="G278" s="40" t="s">
        <v>35</v>
      </c>
      <c r="H278" s="41">
        <f>0.111*E278/100</f>
        <v>9.9899999999999992E-6</v>
      </c>
      <c r="I278" s="82">
        <v>0</v>
      </c>
      <c r="J278" s="28" t="s">
        <v>20</v>
      </c>
      <c r="K278" s="1">
        <f t="shared" si="28"/>
        <v>1.1100000000000001E-3</v>
      </c>
      <c r="L278" s="1">
        <f t="shared" si="27"/>
        <v>1.1100000000000001E-3</v>
      </c>
      <c r="M278" s="108">
        <v>0</v>
      </c>
    </row>
    <row r="279" spans="4:13" x14ac:dyDescent="0.15">
      <c r="D279" s="20" t="s">
        <v>21</v>
      </c>
      <c r="E279" s="21">
        <v>1.2999999999999999E-2</v>
      </c>
      <c r="F279" s="1" t="s">
        <v>51</v>
      </c>
      <c r="G279" s="40" t="s">
        <v>35</v>
      </c>
      <c r="H279" s="41">
        <f>0.228*E279/100</f>
        <v>2.9640000000000001E-5</v>
      </c>
      <c r="I279" s="82">
        <v>0</v>
      </c>
      <c r="J279" s="28" t="s">
        <v>20</v>
      </c>
      <c r="K279" s="1">
        <f t="shared" si="28"/>
        <v>2.2800000000000003E-3</v>
      </c>
      <c r="L279" s="1">
        <f t="shared" si="27"/>
        <v>2.2800000000000003E-3</v>
      </c>
      <c r="M279" s="108">
        <v>0</v>
      </c>
    </row>
    <row r="280" spans="4:13" x14ac:dyDescent="0.15">
      <c r="D280" s="20" t="s">
        <v>22</v>
      </c>
      <c r="E280" s="21">
        <v>1.6E-2</v>
      </c>
      <c r="F280" s="1" t="s">
        <v>51</v>
      </c>
      <c r="G280" s="40" t="s">
        <v>35</v>
      </c>
      <c r="H280" s="41">
        <f>0.325*E280/100</f>
        <v>5.2000000000000004E-5</v>
      </c>
      <c r="I280" s="82">
        <v>0</v>
      </c>
      <c r="J280" s="28" t="s">
        <v>20</v>
      </c>
      <c r="K280" s="1">
        <f t="shared" si="28"/>
        <v>3.2500000000000003E-3</v>
      </c>
      <c r="L280" s="1">
        <f t="shared" si="27"/>
        <v>3.2500000000000003E-3</v>
      </c>
      <c r="M280" s="108">
        <v>0</v>
      </c>
    </row>
    <row r="281" spans="4:13" x14ac:dyDescent="0.15">
      <c r="D281" s="20" t="s">
        <v>23</v>
      </c>
      <c r="E281" s="21">
        <v>0.443</v>
      </c>
      <c r="F281" s="1" t="s">
        <v>51</v>
      </c>
      <c r="G281" s="40" t="s">
        <v>35</v>
      </c>
      <c r="H281" s="41">
        <f>0.263*E281/100</f>
        <v>1.1650899999999999E-3</v>
      </c>
      <c r="I281" s="82">
        <v>0</v>
      </c>
      <c r="J281" s="28" t="s">
        <v>20</v>
      </c>
      <c r="K281" s="1">
        <f t="shared" si="28"/>
        <v>2.63E-3</v>
      </c>
      <c r="L281" s="1">
        <f t="shared" si="27"/>
        <v>2.63E-3</v>
      </c>
      <c r="M281" s="108">
        <v>0</v>
      </c>
    </row>
    <row r="282" spans="4:13" x14ac:dyDescent="0.15">
      <c r="D282" s="20" t="s">
        <v>24</v>
      </c>
      <c r="E282" s="21">
        <v>36.667000000000002</v>
      </c>
      <c r="F282" s="1" t="s">
        <v>51</v>
      </c>
      <c r="G282" s="3">
        <f>6.878*E282^(0.33)/100</f>
        <v>0.22577354201853833</v>
      </c>
      <c r="H282" s="41">
        <f>0.541*E282/100</f>
        <v>0.19836847000000002</v>
      </c>
      <c r="I282" s="82">
        <v>0</v>
      </c>
      <c r="J282" s="28" t="s">
        <v>20</v>
      </c>
      <c r="K282" s="1">
        <f t="shared" si="28"/>
        <v>5.4099999999999999E-3</v>
      </c>
      <c r="L282" s="1">
        <f t="shared" si="27"/>
        <v>5.4099999999999999E-3</v>
      </c>
      <c r="M282" s="22">
        <f>G282/(E282^0.33)</f>
        <v>6.8780000000000008E-2</v>
      </c>
    </row>
    <row r="283" spans="4:13" x14ac:dyDescent="0.15">
      <c r="D283" s="20" t="s">
        <v>25</v>
      </c>
      <c r="E283" s="21">
        <v>1.381</v>
      </c>
      <c r="F283" s="1" t="s">
        <v>51</v>
      </c>
      <c r="G283" s="3">
        <f>5.939*E283^(0.33)/100</f>
        <v>6.6065882285636576E-2</v>
      </c>
      <c r="H283" s="41">
        <f>0.378*E283/100</f>
        <v>5.2201799999999996E-3</v>
      </c>
      <c r="I283" s="82">
        <v>0</v>
      </c>
      <c r="J283" s="28" t="s">
        <v>20</v>
      </c>
      <c r="K283" s="1">
        <f t="shared" si="28"/>
        <v>3.7799999999999995E-3</v>
      </c>
      <c r="L283" s="1">
        <f t="shared" si="27"/>
        <v>3.7799999999999995E-3</v>
      </c>
      <c r="M283" s="22">
        <f>G283/(E283^0.33)</f>
        <v>5.9389999999999998E-2</v>
      </c>
    </row>
    <row r="284" spans="4:13" x14ac:dyDescent="0.15">
      <c r="D284" s="20" t="s">
        <v>26</v>
      </c>
      <c r="E284" s="21">
        <v>0.158</v>
      </c>
      <c r="F284" s="1" t="s">
        <v>51</v>
      </c>
      <c r="G284" s="3" t="s">
        <v>35</v>
      </c>
      <c r="H284" s="41">
        <f>0.249*E284/100</f>
        <v>3.9342000000000001E-4</v>
      </c>
      <c r="I284" s="82">
        <v>0</v>
      </c>
      <c r="J284" s="28" t="s">
        <v>20</v>
      </c>
      <c r="K284" s="1">
        <f t="shared" si="28"/>
        <v>2.49E-3</v>
      </c>
      <c r="L284" s="1">
        <f t="shared" si="27"/>
        <v>2.49E-3</v>
      </c>
      <c r="M284" s="108">
        <v>0</v>
      </c>
    </row>
    <row r="285" spans="4:13" x14ac:dyDescent="0.15">
      <c r="D285" s="20" t="s">
        <v>27</v>
      </c>
      <c r="E285" s="21">
        <v>0.158</v>
      </c>
      <c r="F285" s="1" t="s">
        <v>51</v>
      </c>
      <c r="G285" s="3">
        <f>5.729*E285^(0.33)/100</f>
        <v>3.116274177225252E-2</v>
      </c>
      <c r="H285" s="41">
        <f>0.457*E285/100</f>
        <v>7.2206000000000006E-4</v>
      </c>
      <c r="I285" s="82">
        <v>0</v>
      </c>
      <c r="J285" s="28" t="s">
        <v>20</v>
      </c>
      <c r="K285" s="1">
        <f t="shared" si="28"/>
        <v>4.5700000000000003E-3</v>
      </c>
      <c r="L285" s="1">
        <f t="shared" si="27"/>
        <v>4.5700000000000003E-3</v>
      </c>
      <c r="M285" s="22">
        <f t="shared" ref="M285:M290" si="30">G285/(E285^0.33)</f>
        <v>5.7290000000000001E-2</v>
      </c>
    </row>
    <row r="286" spans="4:13" x14ac:dyDescent="0.15">
      <c r="D286" s="20" t="s">
        <v>28</v>
      </c>
      <c r="E286" s="21">
        <v>2.6230000000000002</v>
      </c>
      <c r="F286" s="1" t="s">
        <v>51</v>
      </c>
      <c r="G286" s="3">
        <f>5.429*E286^(0.33)/100</f>
        <v>7.4631690244307894E-2</v>
      </c>
      <c r="H286" s="41">
        <f>0.471*E286/100</f>
        <v>1.235433E-2</v>
      </c>
      <c r="I286" s="82">
        <v>0</v>
      </c>
      <c r="J286" s="28" t="s">
        <v>20</v>
      </c>
      <c r="K286" s="1">
        <f t="shared" si="28"/>
        <v>4.7099999999999998E-3</v>
      </c>
      <c r="L286" s="1">
        <f t="shared" si="27"/>
        <v>4.7099999999999998E-3</v>
      </c>
      <c r="M286" s="22">
        <f t="shared" si="30"/>
        <v>5.4290000000000005E-2</v>
      </c>
    </row>
    <row r="287" spans="4:13" x14ac:dyDescent="0.15">
      <c r="D287" s="20" t="s">
        <v>41</v>
      </c>
      <c r="E287" s="21">
        <v>9.7070000000000004E-2</v>
      </c>
      <c r="F287" s="1" t="s">
        <v>51</v>
      </c>
      <c r="G287" s="3">
        <v>1.0056000000000001E-2</v>
      </c>
      <c r="H287" s="4">
        <v>4.238E-4</v>
      </c>
      <c r="I287" s="83">
        <v>29</v>
      </c>
      <c r="J287" s="28" t="s">
        <v>43</v>
      </c>
      <c r="K287" s="21">
        <f t="shared" si="28"/>
        <v>3.8185209836785403E-3</v>
      </c>
      <c r="L287" s="21">
        <f t="shared" si="27"/>
        <v>4.3659214999484906E-3</v>
      </c>
      <c r="M287" s="22">
        <f t="shared" si="30"/>
        <v>2.1711368817681001E-2</v>
      </c>
    </row>
    <row r="288" spans="4:13" x14ac:dyDescent="0.15">
      <c r="D288" s="20" t="s">
        <v>41</v>
      </c>
      <c r="E288" s="21">
        <v>0.10265000000000001</v>
      </c>
      <c r="F288" s="1" t="s">
        <v>51</v>
      </c>
      <c r="G288" s="3">
        <v>1.6174999999999998E-2</v>
      </c>
      <c r="H288" s="4">
        <v>6.4459999999999995E-4</v>
      </c>
      <c r="I288" s="83">
        <v>31</v>
      </c>
      <c r="J288" s="28" t="s">
        <v>43</v>
      </c>
      <c r="K288" s="21">
        <f t="shared" si="28"/>
        <v>5.3826599321245162E-3</v>
      </c>
      <c r="L288" s="21">
        <f t="shared" si="27"/>
        <v>6.2795908426692641E-3</v>
      </c>
      <c r="M288" s="22">
        <f t="shared" si="30"/>
        <v>3.4284343255560581E-2</v>
      </c>
    </row>
    <row r="289" spans="1:13" x14ac:dyDescent="0.15">
      <c r="D289" s="20" t="s">
        <v>42</v>
      </c>
      <c r="E289" s="21">
        <v>5.7000000000000002E-2</v>
      </c>
      <c r="F289" s="1" t="s">
        <v>51</v>
      </c>
      <c r="G289" s="3">
        <v>9.7079999999999996E-3</v>
      </c>
      <c r="H289" s="4">
        <v>1.117E-4</v>
      </c>
      <c r="I289" s="83">
        <v>25</v>
      </c>
      <c r="J289" s="28" t="s">
        <v>43</v>
      </c>
      <c r="K289" s="21">
        <f t="shared" si="28"/>
        <v>1.7760452598595403E-3</v>
      </c>
      <c r="L289" s="21">
        <f t="shared" si="27"/>
        <v>1.9596491228070175E-3</v>
      </c>
      <c r="M289" s="22">
        <f t="shared" si="30"/>
        <v>2.4985673773255751E-2</v>
      </c>
    </row>
    <row r="290" spans="1:13" x14ac:dyDescent="0.15">
      <c r="D290" s="20" t="s">
        <v>42</v>
      </c>
      <c r="E290" s="21">
        <v>5.1700000000000003E-2</v>
      </c>
      <c r="F290" s="1" t="s">
        <v>51</v>
      </c>
      <c r="G290" s="3">
        <v>8.9779999999999999E-3</v>
      </c>
      <c r="H290" s="4">
        <v>1.217E-4</v>
      </c>
      <c r="I290" s="83">
        <v>20</v>
      </c>
      <c r="J290" s="28" t="s">
        <v>43</v>
      </c>
      <c r="K290" s="21">
        <f t="shared" si="28"/>
        <v>2.2120037127590919E-3</v>
      </c>
      <c r="L290" s="21">
        <f t="shared" si="27"/>
        <v>2.3539651837524178E-3</v>
      </c>
      <c r="M290" s="22">
        <f t="shared" si="30"/>
        <v>2.386314729036015E-2</v>
      </c>
    </row>
    <row r="291" spans="1:13" x14ac:dyDescent="0.15">
      <c r="A291" s="10"/>
      <c r="D291" s="18" t="s">
        <v>111</v>
      </c>
      <c r="E291" s="21">
        <v>0.89984193999999995</v>
      </c>
      <c r="F291" s="22" t="s">
        <v>51</v>
      </c>
      <c r="G291" s="23"/>
      <c r="H291" s="5">
        <v>1.8854501483000002E-3</v>
      </c>
      <c r="I291" s="90">
        <f>AVERAGE(I271:I290)</f>
        <v>7.7166666666499992</v>
      </c>
      <c r="J291" s="21" t="s">
        <v>206</v>
      </c>
      <c r="K291" s="29">
        <f t="shared" si="28"/>
        <v>2.0763378248336135E-3</v>
      </c>
      <c r="L291" s="29">
        <f t="shared" si="27"/>
        <v>2.0953125926759983E-3</v>
      </c>
    </row>
    <row r="292" spans="1:13" x14ac:dyDescent="0.15">
      <c r="A292" s="1"/>
      <c r="B292" s="9"/>
      <c r="C292" s="9"/>
      <c r="I292" s="85"/>
    </row>
    <row r="293" spans="1:13" x14ac:dyDescent="0.15">
      <c r="A293" s="1"/>
      <c r="B293" s="9"/>
      <c r="C293" s="9"/>
      <c r="I293" s="85"/>
    </row>
    <row r="294" spans="1:13" x14ac:dyDescent="0.15">
      <c r="A294" s="47" t="s">
        <v>82</v>
      </c>
      <c r="B294" s="48" t="s">
        <v>79</v>
      </c>
      <c r="C294" s="48" t="s">
        <v>55</v>
      </c>
      <c r="D294" s="20" t="s">
        <v>8</v>
      </c>
      <c r="E294" s="1">
        <v>17.100000000000001</v>
      </c>
      <c r="F294" s="1" t="s">
        <v>78</v>
      </c>
      <c r="G294" s="40">
        <v>0.1086</v>
      </c>
      <c r="H294" s="41">
        <v>8.8999999999999999E-3</v>
      </c>
      <c r="I294" s="82">
        <v>0</v>
      </c>
      <c r="J294" s="1" t="s">
        <v>223</v>
      </c>
      <c r="K294" s="1">
        <f t="shared" ref="K294:K314" si="31">H294*COS(RADIANS(I294))/E294</f>
        <v>5.2046783625730986E-4</v>
      </c>
      <c r="L294" s="1">
        <f t="shared" si="27"/>
        <v>5.2046783625730986E-4</v>
      </c>
      <c r="M294" s="22">
        <f t="shared" ref="M294:M300" si="32">G294/(E294^0.33)</f>
        <v>4.2554070507375308E-2</v>
      </c>
    </row>
    <row r="295" spans="1:13" x14ac:dyDescent="0.15">
      <c r="A295" s="1"/>
      <c r="B295" s="9"/>
      <c r="C295" s="9"/>
      <c r="D295" s="20" t="s">
        <v>11</v>
      </c>
      <c r="E295" s="1">
        <v>90</v>
      </c>
      <c r="F295" s="1" t="s">
        <v>78</v>
      </c>
      <c r="G295" s="3">
        <v>0.1348</v>
      </c>
      <c r="H295" s="4">
        <v>4.5569999999999999E-2</v>
      </c>
      <c r="I295" s="83">
        <v>0</v>
      </c>
      <c r="J295" s="1" t="s">
        <v>223</v>
      </c>
      <c r="K295" s="1">
        <f t="shared" si="31"/>
        <v>5.0633333333333335E-4</v>
      </c>
      <c r="L295" s="1">
        <f t="shared" si="27"/>
        <v>5.0633333333333335E-4</v>
      </c>
      <c r="M295" s="22">
        <f t="shared" si="32"/>
        <v>3.0534433293800373E-2</v>
      </c>
    </row>
    <row r="296" spans="1:13" x14ac:dyDescent="0.15">
      <c r="A296" s="1"/>
      <c r="B296" s="9"/>
      <c r="C296" s="9"/>
      <c r="D296" s="20" t="s">
        <v>12</v>
      </c>
      <c r="E296" s="1">
        <v>20.190000000000001</v>
      </c>
      <c r="F296" s="1" t="s">
        <v>78</v>
      </c>
      <c r="G296" s="3">
        <v>9.7679999999999989E-2</v>
      </c>
      <c r="H296" s="4">
        <v>6.7000000000000002E-3</v>
      </c>
      <c r="I296" s="84">
        <v>0</v>
      </c>
      <c r="J296" s="1" t="s">
        <v>223</v>
      </c>
      <c r="K296" s="1">
        <f t="shared" si="31"/>
        <v>3.3184744923229321E-4</v>
      </c>
      <c r="L296" s="1">
        <f t="shared" si="27"/>
        <v>3.3184744923229321E-4</v>
      </c>
      <c r="M296" s="22">
        <f t="shared" si="32"/>
        <v>3.6233531590944425E-2</v>
      </c>
    </row>
    <row r="297" spans="1:13" x14ac:dyDescent="0.15">
      <c r="A297" s="1"/>
      <c r="B297" s="9"/>
      <c r="C297" s="9"/>
      <c r="D297" s="20" t="s">
        <v>13</v>
      </c>
      <c r="E297" s="1">
        <v>27.7</v>
      </c>
      <c r="F297" s="1" t="s">
        <v>78</v>
      </c>
      <c r="G297" s="3">
        <v>0.154</v>
      </c>
      <c r="H297" s="4">
        <v>1.304E-2</v>
      </c>
      <c r="I297" s="92">
        <v>0</v>
      </c>
      <c r="J297" s="1" t="s">
        <v>223</v>
      </c>
      <c r="K297" s="1">
        <f t="shared" si="31"/>
        <v>4.7075812274368229E-4</v>
      </c>
      <c r="L297" s="1">
        <f t="shared" si="27"/>
        <v>4.7075812274368229E-4</v>
      </c>
      <c r="M297" s="22">
        <f t="shared" si="32"/>
        <v>5.1463864750271357E-2</v>
      </c>
    </row>
    <row r="298" spans="1:13" x14ac:dyDescent="0.15">
      <c r="A298" s="1"/>
      <c r="B298" s="9"/>
      <c r="C298" s="9"/>
      <c r="D298" s="26" t="s">
        <v>14</v>
      </c>
      <c r="E298" s="42">
        <v>278</v>
      </c>
      <c r="F298" s="1" t="s">
        <v>78</v>
      </c>
      <c r="G298" s="6">
        <v>0.22600000000000001</v>
      </c>
      <c r="H298" s="7">
        <v>8.7400000000000005E-2</v>
      </c>
      <c r="I298" s="88">
        <v>0</v>
      </c>
      <c r="J298" s="1" t="s">
        <v>223</v>
      </c>
      <c r="K298" s="42">
        <f t="shared" si="31"/>
        <v>3.143884892086331E-4</v>
      </c>
      <c r="L298" s="42">
        <f t="shared" si="27"/>
        <v>3.143884892086331E-4</v>
      </c>
      <c r="M298" s="22">
        <f t="shared" si="32"/>
        <v>3.5283662275794853E-2</v>
      </c>
    </row>
    <row r="299" spans="1:13" x14ac:dyDescent="0.15">
      <c r="A299" s="1"/>
      <c r="B299" s="9"/>
      <c r="C299" s="9"/>
      <c r="D299" s="26" t="s">
        <v>15</v>
      </c>
      <c r="E299" s="42">
        <v>7.7</v>
      </c>
      <c r="F299" s="1" t="s">
        <v>78</v>
      </c>
      <c r="G299" s="6">
        <v>1.84E-2</v>
      </c>
      <c r="H299" s="7">
        <v>4.6600000000000001E-3</v>
      </c>
      <c r="I299" s="88">
        <v>0</v>
      </c>
      <c r="J299" s="1" t="s">
        <v>223</v>
      </c>
      <c r="K299" s="42">
        <f t="shared" si="31"/>
        <v>6.0519480519480523E-4</v>
      </c>
      <c r="L299" s="42">
        <f t="shared" si="27"/>
        <v>6.0519480519480523E-4</v>
      </c>
      <c r="M299" s="22">
        <f t="shared" si="32"/>
        <v>9.3815777837083468E-3</v>
      </c>
    </row>
    <row r="300" spans="1:13" x14ac:dyDescent="0.15">
      <c r="A300" s="1"/>
      <c r="B300" s="9"/>
      <c r="C300" s="9"/>
      <c r="D300" s="20" t="s">
        <v>14</v>
      </c>
      <c r="E300" s="1">
        <v>3.7</v>
      </c>
      <c r="F300" s="1" t="s">
        <v>78</v>
      </c>
      <c r="G300" s="40">
        <v>7.4133000000000004E-2</v>
      </c>
      <c r="H300" s="41">
        <v>1.8032E-3</v>
      </c>
      <c r="I300" s="82">
        <v>0</v>
      </c>
      <c r="J300" s="1" t="s">
        <v>222</v>
      </c>
      <c r="K300" s="1">
        <f t="shared" si="31"/>
        <v>4.8735135135135135E-4</v>
      </c>
      <c r="L300" s="1">
        <f t="shared" si="27"/>
        <v>4.8735135135135135E-4</v>
      </c>
      <c r="M300" s="22">
        <f t="shared" si="32"/>
        <v>4.813988034605314E-2</v>
      </c>
    </row>
    <row r="301" spans="1:13" x14ac:dyDescent="0.15">
      <c r="A301" s="1"/>
      <c r="B301" s="9"/>
      <c r="C301" s="9"/>
      <c r="D301" s="20" t="s">
        <v>18</v>
      </c>
      <c r="E301" s="21">
        <v>8.9999999999999993E-3</v>
      </c>
      <c r="F301" s="22" t="s">
        <v>80</v>
      </c>
      <c r="G301" s="40" t="s">
        <v>35</v>
      </c>
      <c r="H301" s="41">
        <f>0.052*E301/100</f>
        <v>4.6799999999999992E-6</v>
      </c>
      <c r="I301" s="82">
        <v>0</v>
      </c>
      <c r="J301" s="28" t="s">
        <v>20</v>
      </c>
      <c r="K301" s="1">
        <f t="shared" si="31"/>
        <v>5.1999999999999995E-4</v>
      </c>
      <c r="L301" s="1">
        <f t="shared" si="27"/>
        <v>5.1999999999999995E-4</v>
      </c>
      <c r="M301" s="108">
        <v>0</v>
      </c>
    </row>
    <row r="302" spans="1:13" x14ac:dyDescent="0.15">
      <c r="A302" s="1"/>
      <c r="B302" s="9"/>
      <c r="C302" s="9"/>
      <c r="D302" s="20" t="s">
        <v>21</v>
      </c>
      <c r="E302" s="21">
        <v>1.2999999999999999E-2</v>
      </c>
      <c r="F302" s="22" t="s">
        <v>80</v>
      </c>
      <c r="G302" s="40" t="s">
        <v>35</v>
      </c>
      <c r="H302" s="41">
        <f>0.15*E302/100</f>
        <v>1.95E-5</v>
      </c>
      <c r="I302" s="82">
        <v>0</v>
      </c>
      <c r="J302" s="28" t="s">
        <v>20</v>
      </c>
      <c r="K302" s="1">
        <f t="shared" si="31"/>
        <v>1.5E-3</v>
      </c>
      <c r="L302" s="1">
        <f t="shared" si="27"/>
        <v>1.5E-3</v>
      </c>
      <c r="M302" s="108">
        <v>0</v>
      </c>
    </row>
    <row r="303" spans="1:13" x14ac:dyDescent="0.15">
      <c r="A303" s="1"/>
      <c r="B303" s="9"/>
      <c r="C303" s="9"/>
      <c r="D303" s="20" t="s">
        <v>22</v>
      </c>
      <c r="E303" s="21">
        <v>1.6E-2</v>
      </c>
      <c r="F303" s="22" t="s">
        <v>80</v>
      </c>
      <c r="G303" s="40" t="s">
        <v>35</v>
      </c>
      <c r="H303" s="41">
        <f>0.075*E303/100</f>
        <v>1.1999999999999999E-5</v>
      </c>
      <c r="I303" s="82">
        <v>0</v>
      </c>
      <c r="J303" s="28" t="s">
        <v>20</v>
      </c>
      <c r="K303" s="1">
        <f t="shared" si="31"/>
        <v>7.4999999999999991E-4</v>
      </c>
      <c r="L303" s="1">
        <f t="shared" si="27"/>
        <v>7.4999999999999991E-4</v>
      </c>
      <c r="M303" s="108">
        <v>0</v>
      </c>
    </row>
    <row r="304" spans="1:13" x14ac:dyDescent="0.15">
      <c r="A304" s="1"/>
      <c r="B304" s="9"/>
      <c r="C304" s="9"/>
      <c r="D304" s="20" t="s">
        <v>23</v>
      </c>
      <c r="E304" s="21">
        <v>0.443</v>
      </c>
      <c r="F304" s="22" t="s">
        <v>80</v>
      </c>
      <c r="G304" s="3">
        <f>4.225*E304^(0.33)/100</f>
        <v>3.229534608700857E-2</v>
      </c>
      <c r="H304" s="41">
        <f>0.166*E304/100</f>
        <v>7.353800000000001E-4</v>
      </c>
      <c r="I304" s="82">
        <v>1.6672499999999999</v>
      </c>
      <c r="J304" s="28" t="s">
        <v>20</v>
      </c>
      <c r="K304" s="1">
        <f t="shared" si="31"/>
        <v>1.6592972455011156E-3</v>
      </c>
      <c r="L304" s="1">
        <f t="shared" si="27"/>
        <v>1.6600000000000002E-3</v>
      </c>
      <c r="M304" s="22">
        <f t="shared" ref="M304:M313" si="33">G304/(E304^0.33)</f>
        <v>4.2249999999999996E-2</v>
      </c>
    </row>
    <row r="305" spans="1:13" x14ac:dyDescent="0.15">
      <c r="A305" s="1"/>
      <c r="B305" s="9"/>
      <c r="C305" s="9"/>
      <c r="D305" s="20" t="s">
        <v>24</v>
      </c>
      <c r="E305" s="21">
        <v>36.667000000000002</v>
      </c>
      <c r="F305" s="22" t="s">
        <v>80</v>
      </c>
      <c r="G305" s="3">
        <f>3.988*E305^(0.33)/100</f>
        <v>0.13090795079527925</v>
      </c>
      <c r="H305" s="41">
        <f>0.234*E305/100</f>
        <v>8.5800780000000007E-2</v>
      </c>
      <c r="I305" s="82">
        <v>0.222</v>
      </c>
      <c r="J305" s="28" t="s">
        <v>20</v>
      </c>
      <c r="K305" s="1">
        <f t="shared" si="31"/>
        <v>2.3399824350870224E-3</v>
      </c>
      <c r="L305" s="1">
        <f t="shared" si="27"/>
        <v>2.3400000000000001E-3</v>
      </c>
      <c r="M305" s="22">
        <f t="shared" si="33"/>
        <v>3.9879999999999999E-2</v>
      </c>
    </row>
    <row r="306" spans="1:13" x14ac:dyDescent="0.15">
      <c r="A306" s="1"/>
      <c r="B306" s="9"/>
      <c r="C306" s="9"/>
      <c r="D306" s="20" t="s">
        <v>25</v>
      </c>
      <c r="E306" s="21">
        <v>1.381</v>
      </c>
      <c r="F306" s="22" t="s">
        <v>80</v>
      </c>
      <c r="G306" s="3">
        <f>4.58*E306^(0.33)/100</f>
        <v>5.0948264163700206E-2</v>
      </c>
      <c r="H306" s="41">
        <f>0.429*E306/100</f>
        <v>5.9244900000000001E-3</v>
      </c>
      <c r="I306" s="82">
        <v>0.61099999999999999</v>
      </c>
      <c r="J306" s="28" t="s">
        <v>20</v>
      </c>
      <c r="K306" s="1">
        <f t="shared" si="31"/>
        <v>4.2897560727405207E-3</v>
      </c>
      <c r="L306" s="1">
        <f t="shared" si="27"/>
        <v>4.2900000000000004E-3</v>
      </c>
      <c r="M306" s="22">
        <f t="shared" si="33"/>
        <v>4.58E-2</v>
      </c>
    </row>
    <row r="307" spans="1:13" x14ac:dyDescent="0.15">
      <c r="A307" s="1"/>
      <c r="B307" s="9"/>
      <c r="C307" s="9"/>
      <c r="D307" s="20" t="s">
        <v>26</v>
      </c>
      <c r="E307" s="21">
        <v>0.158</v>
      </c>
      <c r="F307" s="22" t="s">
        <v>80</v>
      </c>
      <c r="G307" s="3">
        <f>4.86*E307^(0.33)/100</f>
        <v>2.6435839590355604E-2</v>
      </c>
      <c r="H307" s="41">
        <f>0.112*E307/100</f>
        <v>1.7695999999999999E-4</v>
      </c>
      <c r="I307" s="82">
        <v>1.333</v>
      </c>
      <c r="J307" s="28" t="s">
        <v>20</v>
      </c>
      <c r="K307" s="1">
        <f t="shared" si="31"/>
        <v>1.1196969017201451E-3</v>
      </c>
      <c r="L307" s="1">
        <f t="shared" si="27"/>
        <v>1.1199999999999999E-3</v>
      </c>
      <c r="M307" s="22">
        <f t="shared" si="33"/>
        <v>4.8600000000000004E-2</v>
      </c>
    </row>
    <row r="308" spans="1:13" x14ac:dyDescent="0.15">
      <c r="A308" s="1"/>
      <c r="B308" s="9"/>
      <c r="C308" s="9"/>
      <c r="D308" s="20" t="s">
        <v>27</v>
      </c>
      <c r="E308" s="21">
        <v>0.158</v>
      </c>
      <c r="F308" s="22" t="s">
        <v>80</v>
      </c>
      <c r="G308" s="3">
        <f>4.654*E308^(0.33)/100</f>
        <v>2.5315308118007196E-2</v>
      </c>
      <c r="H308" s="41">
        <f>0.182*E308/100</f>
        <v>2.8756000000000002E-4</v>
      </c>
      <c r="I308" s="82">
        <v>0.44400000000000001</v>
      </c>
      <c r="J308" s="28" t="s">
        <v>20</v>
      </c>
      <c r="K308" s="1">
        <f t="shared" si="31"/>
        <v>1.8199453538091674E-3</v>
      </c>
      <c r="L308" s="1">
        <f t="shared" si="27"/>
        <v>1.82E-3</v>
      </c>
      <c r="M308" s="22">
        <f t="shared" si="33"/>
        <v>4.6540000000000005E-2</v>
      </c>
    </row>
    <row r="309" spans="1:13" x14ac:dyDescent="0.15">
      <c r="A309" s="1"/>
      <c r="B309" s="9"/>
      <c r="C309" s="9"/>
      <c r="D309" s="20" t="s">
        <v>28</v>
      </c>
      <c r="E309" s="21">
        <v>2.6230000000000002</v>
      </c>
      <c r="F309" s="22" t="s">
        <v>80</v>
      </c>
      <c r="G309" s="3">
        <f>4.157*E309^(0.33)/100</f>
        <v>5.7145687298874176E-2</v>
      </c>
      <c r="H309" s="41">
        <f>0.158*E309/100</f>
        <v>4.1443399999999998E-3</v>
      </c>
      <c r="I309" s="82">
        <v>0.33300000000000002</v>
      </c>
      <c r="J309" s="28" t="s">
        <v>20</v>
      </c>
      <c r="K309" s="1">
        <f t="shared" si="31"/>
        <v>1.5799733148854761E-3</v>
      </c>
      <c r="L309" s="1">
        <f t="shared" si="27"/>
        <v>1.5799999999999998E-3</v>
      </c>
      <c r="M309" s="22">
        <f t="shared" si="33"/>
        <v>4.1570000000000003E-2</v>
      </c>
    </row>
    <row r="310" spans="1:13" x14ac:dyDescent="0.15">
      <c r="A310" s="1"/>
      <c r="B310" s="9"/>
      <c r="C310" s="9"/>
      <c r="D310" s="20" t="s">
        <v>41</v>
      </c>
      <c r="E310" s="21">
        <v>9.7070000000000004E-2</v>
      </c>
      <c r="F310" s="22" t="s">
        <v>81</v>
      </c>
      <c r="G310" s="3">
        <v>1.685E-2</v>
      </c>
      <c r="H310" s="4">
        <v>1.44E-4</v>
      </c>
      <c r="I310" s="83">
        <v>0</v>
      </c>
      <c r="J310" s="28" t="s">
        <v>43</v>
      </c>
      <c r="K310" s="1">
        <f t="shared" si="31"/>
        <v>1.4834655403317193E-3</v>
      </c>
      <c r="L310" s="1">
        <f t="shared" si="27"/>
        <v>1.4834655403317193E-3</v>
      </c>
      <c r="M310" s="22">
        <f t="shared" si="33"/>
        <v>3.6379928856197778E-2</v>
      </c>
    </row>
    <row r="311" spans="1:13" x14ac:dyDescent="0.15">
      <c r="A311" s="1"/>
      <c r="B311" s="9"/>
      <c r="C311" s="9"/>
      <c r="D311" s="20" t="s">
        <v>41</v>
      </c>
      <c r="E311" s="21">
        <v>0.10265000000000001</v>
      </c>
      <c r="F311" s="22" t="s">
        <v>81</v>
      </c>
      <c r="G311" s="3">
        <v>1.3011999999999999E-2</v>
      </c>
      <c r="H311" s="4">
        <v>1.582E-4</v>
      </c>
      <c r="I311" s="83">
        <v>0</v>
      </c>
      <c r="J311" s="28" t="s">
        <v>43</v>
      </c>
      <c r="K311" s="1">
        <f t="shared" si="31"/>
        <v>1.5411592791037506E-3</v>
      </c>
      <c r="L311" s="1">
        <f t="shared" si="27"/>
        <v>1.5411592791037506E-3</v>
      </c>
      <c r="M311" s="22">
        <f t="shared" si="33"/>
        <v>2.7580084973190373E-2</v>
      </c>
    </row>
    <row r="312" spans="1:13" x14ac:dyDescent="0.15">
      <c r="A312" s="1"/>
      <c r="B312" s="9"/>
      <c r="C312" s="9"/>
      <c r="D312" s="20" t="s">
        <v>42</v>
      </c>
      <c r="E312" s="21">
        <v>5.7000000000000002E-2</v>
      </c>
      <c r="F312" s="22" t="s">
        <v>81</v>
      </c>
      <c r="G312" s="3">
        <v>9.299E-3</v>
      </c>
      <c r="H312" s="4">
        <v>2.9E-5</v>
      </c>
      <c r="I312" s="83">
        <v>9</v>
      </c>
      <c r="J312" s="28" t="s">
        <v>43</v>
      </c>
      <c r="K312" s="1">
        <f t="shared" si="31"/>
        <v>5.0250810310980697E-4</v>
      </c>
      <c r="L312" s="1">
        <f t="shared" si="27"/>
        <v>5.0877192982456141E-4</v>
      </c>
      <c r="M312" s="22">
        <f t="shared" si="33"/>
        <v>2.3933022292697285E-2</v>
      </c>
    </row>
    <row r="313" spans="1:13" x14ac:dyDescent="0.15">
      <c r="A313" s="1"/>
      <c r="B313" s="9"/>
      <c r="C313" s="9"/>
      <c r="D313" s="20" t="s">
        <v>42</v>
      </c>
      <c r="E313" s="21">
        <v>5.1700000000000003E-2</v>
      </c>
      <c r="F313" s="22" t="s">
        <v>81</v>
      </c>
      <c r="G313" s="3">
        <v>1.0507000000000001E-2</v>
      </c>
      <c r="H313" s="4">
        <v>2.97E-5</v>
      </c>
      <c r="I313" s="83">
        <v>0</v>
      </c>
      <c r="J313" s="28" t="s">
        <v>43</v>
      </c>
      <c r="K313" s="1">
        <f t="shared" si="31"/>
        <v>5.7446808510638295E-4</v>
      </c>
      <c r="L313" s="1">
        <f t="shared" si="27"/>
        <v>5.7446808510638295E-4</v>
      </c>
      <c r="M313" s="22">
        <f t="shared" si="33"/>
        <v>2.7927165134753188E-2</v>
      </c>
    </row>
    <row r="314" spans="1:13" x14ac:dyDescent="0.15">
      <c r="A314" s="10"/>
      <c r="B314" s="9"/>
      <c r="C314" s="9"/>
      <c r="D314" s="18" t="s">
        <v>111</v>
      </c>
      <c r="E314" s="21">
        <v>0.89984193999999995</v>
      </c>
      <c r="F314" s="22" t="s">
        <v>78</v>
      </c>
      <c r="G314" s="23"/>
      <c r="H314" s="73">
        <v>3.6364244693200005E-3</v>
      </c>
      <c r="I314" s="90">
        <f>AVERAGE(I294:I313)</f>
        <v>0.68051250000000008</v>
      </c>
      <c r="J314" s="21" t="s">
        <v>206</v>
      </c>
      <c r="K314" s="32">
        <f t="shared" si="31"/>
        <v>4.0408963175166462E-3</v>
      </c>
      <c r="L314" s="32">
        <f t="shared" si="27"/>
        <v>4.0411813538275406E-3</v>
      </c>
    </row>
    <row r="315" spans="1:13" x14ac:dyDescent="0.15">
      <c r="A315" s="1"/>
      <c r="B315" s="9"/>
      <c r="C315" s="9"/>
      <c r="D315" s="60"/>
      <c r="E315" s="22"/>
      <c r="G315" s="23"/>
      <c r="H315" s="23"/>
      <c r="I315" s="90"/>
      <c r="J315" s="58"/>
      <c r="K315" s="1"/>
      <c r="L315" s="1" t="e">
        <f t="shared" si="27"/>
        <v>#DIV/0!</v>
      </c>
      <c r="M315" s="1"/>
    </row>
    <row r="316" spans="1:13" x14ac:dyDescent="0.15">
      <c r="A316" s="1"/>
      <c r="B316" s="9"/>
      <c r="C316" s="9"/>
      <c r="I316" s="85"/>
      <c r="L316" s="22" t="e">
        <f t="shared" si="27"/>
        <v>#DIV/0!</v>
      </c>
    </row>
    <row r="317" spans="1:13" x14ac:dyDescent="0.15">
      <c r="A317" s="47" t="s">
        <v>86</v>
      </c>
      <c r="B317" s="48" t="s">
        <v>79</v>
      </c>
      <c r="C317" s="48" t="s">
        <v>55</v>
      </c>
      <c r="D317" s="20" t="s">
        <v>8</v>
      </c>
      <c r="E317" s="1">
        <v>17.100000000000001</v>
      </c>
      <c r="F317" s="1" t="s">
        <v>84</v>
      </c>
      <c r="G317" s="40">
        <v>0.10387500000000001</v>
      </c>
      <c r="H317" s="41">
        <v>3.7659999999999999E-2</v>
      </c>
      <c r="I317" s="82">
        <v>0</v>
      </c>
      <c r="J317" s="1" t="s">
        <v>223</v>
      </c>
      <c r="K317" s="1">
        <f t="shared" ref="K317:K334" si="34">H317*COS(RADIANS(I317))/E317</f>
        <v>2.2023391812865493E-3</v>
      </c>
      <c r="L317" s="1">
        <f t="shared" si="27"/>
        <v>2.2023391812865493E-3</v>
      </c>
      <c r="M317" s="22">
        <f t="shared" ref="M317:M323" si="35">G317/(E317^0.33)</f>
        <v>4.0702615782261607E-2</v>
      </c>
    </row>
    <row r="318" spans="1:13" x14ac:dyDescent="0.15">
      <c r="A318" s="1"/>
      <c r="B318" s="9"/>
      <c r="C318" s="9"/>
      <c r="D318" s="20" t="s">
        <v>11</v>
      </c>
      <c r="E318" s="1">
        <v>90</v>
      </c>
      <c r="F318" s="1" t="s">
        <v>84</v>
      </c>
      <c r="G318" s="3">
        <v>0.10057142857142858</v>
      </c>
      <c r="H318" s="4">
        <v>0.1371</v>
      </c>
      <c r="I318" s="83">
        <v>0</v>
      </c>
      <c r="J318" s="1" t="s">
        <v>223</v>
      </c>
      <c r="K318" s="1">
        <f t="shared" si="34"/>
        <v>1.5233333333333334E-3</v>
      </c>
      <c r="L318" s="1">
        <f t="shared" si="27"/>
        <v>1.5233333333333334E-3</v>
      </c>
      <c r="M318" s="22">
        <f t="shared" si="35"/>
        <v>2.2781094784692098E-2</v>
      </c>
    </row>
    <row r="319" spans="1:13" x14ac:dyDescent="0.15">
      <c r="A319" s="1"/>
      <c r="B319" s="9"/>
      <c r="C319" s="9"/>
      <c r="D319" s="20" t="s">
        <v>12</v>
      </c>
      <c r="E319" s="1">
        <v>20.190000000000001</v>
      </c>
      <c r="F319" s="1" t="s">
        <v>84</v>
      </c>
      <c r="G319" s="3">
        <v>0.10546</v>
      </c>
      <c r="H319" s="4">
        <v>3.9800000000000002E-2</v>
      </c>
      <c r="I319" s="84">
        <v>0</v>
      </c>
      <c r="J319" s="1" t="s">
        <v>223</v>
      </c>
      <c r="K319" s="1">
        <f t="shared" si="34"/>
        <v>1.9712729073798909E-3</v>
      </c>
      <c r="L319" s="1">
        <f t="shared" si="27"/>
        <v>1.9712729073798909E-3</v>
      </c>
      <c r="M319" s="22">
        <f t="shared" si="35"/>
        <v>3.9119453742639219E-2</v>
      </c>
    </row>
    <row r="320" spans="1:13" x14ac:dyDescent="0.15">
      <c r="A320" s="1"/>
      <c r="B320" s="9"/>
      <c r="C320" s="9"/>
      <c r="D320" s="20" t="s">
        <v>13</v>
      </c>
      <c r="E320" s="1">
        <v>27.7</v>
      </c>
      <c r="F320" s="1" t="s">
        <v>84</v>
      </c>
      <c r="G320" s="3">
        <v>0.15259999999999999</v>
      </c>
      <c r="H320" s="4">
        <v>4.163E-2</v>
      </c>
      <c r="I320" s="83">
        <v>0</v>
      </c>
      <c r="J320" s="1" t="s">
        <v>223</v>
      </c>
      <c r="K320" s="1">
        <f t="shared" si="34"/>
        <v>1.5028880866425993E-3</v>
      </c>
      <c r="L320" s="1">
        <f t="shared" si="27"/>
        <v>1.5028880866425993E-3</v>
      </c>
      <c r="M320" s="22">
        <f t="shared" si="35"/>
        <v>5.0996011434359799E-2</v>
      </c>
    </row>
    <row r="321" spans="1:13" x14ac:dyDescent="0.15">
      <c r="A321" s="1"/>
      <c r="B321" s="9"/>
      <c r="C321" s="9"/>
      <c r="D321" s="26" t="s">
        <v>14</v>
      </c>
      <c r="E321" s="42">
        <v>278</v>
      </c>
      <c r="F321" s="1" t="s">
        <v>84</v>
      </c>
      <c r="G321" s="6">
        <v>0.20599999999999999</v>
      </c>
      <c r="H321" s="7">
        <v>0.29980000000000001</v>
      </c>
      <c r="I321" s="88">
        <v>0</v>
      </c>
      <c r="J321" s="1" t="s">
        <v>223</v>
      </c>
      <c r="K321" s="42">
        <f t="shared" si="34"/>
        <v>1.0784172661870504E-3</v>
      </c>
      <c r="L321" s="42">
        <f t="shared" si="27"/>
        <v>1.0784172661870504E-3</v>
      </c>
      <c r="M321" s="22">
        <f t="shared" si="35"/>
        <v>3.2161214286786456E-2</v>
      </c>
    </row>
    <row r="322" spans="1:13" x14ac:dyDescent="0.15">
      <c r="A322" s="1"/>
      <c r="B322" s="9"/>
      <c r="C322" s="9"/>
      <c r="D322" s="26" t="s">
        <v>15</v>
      </c>
      <c r="E322" s="42">
        <v>7.7</v>
      </c>
      <c r="F322" s="1" t="s">
        <v>84</v>
      </c>
      <c r="G322" s="6">
        <v>7.3999999999999996E-2</v>
      </c>
      <c r="H322" s="7">
        <v>1.1608E-2</v>
      </c>
      <c r="I322" s="93">
        <v>15</v>
      </c>
      <c r="J322" s="1" t="s">
        <v>223</v>
      </c>
      <c r="K322" s="42">
        <f t="shared" si="34"/>
        <v>1.4561645443588967E-3</v>
      </c>
      <c r="L322" s="42">
        <f t="shared" si="27"/>
        <v>1.5075324675324676E-3</v>
      </c>
      <c r="M322" s="22">
        <f t="shared" si="35"/>
        <v>3.7730258477957482E-2</v>
      </c>
    </row>
    <row r="323" spans="1:13" x14ac:dyDescent="0.15">
      <c r="A323" s="1"/>
      <c r="B323" s="9"/>
      <c r="C323" s="9"/>
      <c r="D323" s="20" t="s">
        <v>14</v>
      </c>
      <c r="E323" s="1">
        <v>3.7</v>
      </c>
      <c r="F323" s="1" t="s">
        <v>84</v>
      </c>
      <c r="G323" s="40">
        <v>7.5063000000000005E-2</v>
      </c>
      <c r="H323" s="41">
        <v>5.9402999999999999E-3</v>
      </c>
      <c r="I323" s="82">
        <v>0</v>
      </c>
      <c r="J323" s="1" t="s">
        <v>222</v>
      </c>
      <c r="K323" s="1">
        <f t="shared" si="34"/>
        <v>1.6054864864864864E-3</v>
      </c>
      <c r="L323" s="1">
        <f t="shared" si="27"/>
        <v>1.6054864864864864E-3</v>
      </c>
      <c r="M323" s="22">
        <f t="shared" si="35"/>
        <v>4.8743796128792663E-2</v>
      </c>
    </row>
    <row r="324" spans="1:13" x14ac:dyDescent="0.15">
      <c r="A324" s="1"/>
      <c r="B324" s="9"/>
      <c r="C324" s="9"/>
      <c r="D324" s="20" t="s">
        <v>23</v>
      </c>
      <c r="E324" s="21">
        <v>0.443</v>
      </c>
      <c r="F324" s="1" t="s">
        <v>84</v>
      </c>
      <c r="G324" s="3" t="s">
        <v>35</v>
      </c>
      <c r="H324" s="4">
        <f>0.172*E324/100</f>
        <v>7.6196E-4</v>
      </c>
      <c r="I324" s="83">
        <v>0</v>
      </c>
      <c r="J324" s="28" t="s">
        <v>20</v>
      </c>
      <c r="K324" s="54">
        <f t="shared" si="34"/>
        <v>1.72E-3</v>
      </c>
      <c r="L324" s="54">
        <f t="shared" si="27"/>
        <v>1.72E-3</v>
      </c>
      <c r="M324" s="108">
        <v>0</v>
      </c>
    </row>
    <row r="325" spans="1:13" x14ac:dyDescent="0.15">
      <c r="A325" s="1"/>
      <c r="B325" s="9"/>
      <c r="C325" s="9"/>
      <c r="D325" s="20" t="s">
        <v>24</v>
      </c>
      <c r="E325" s="21">
        <v>36.667000000000002</v>
      </c>
      <c r="F325" s="1" t="s">
        <v>84</v>
      </c>
      <c r="G325" s="3">
        <f>4.423*E325^(0.33)/100</f>
        <v>0.14518702767490477</v>
      </c>
      <c r="H325" s="4">
        <f>0.26*E325/100</f>
        <v>9.5334200000000008E-2</v>
      </c>
      <c r="I325" s="83">
        <v>0</v>
      </c>
      <c r="J325" s="28" t="s">
        <v>20</v>
      </c>
      <c r="K325" s="54">
        <f t="shared" si="34"/>
        <v>2.6000000000000003E-3</v>
      </c>
      <c r="L325" s="54">
        <f t="shared" ref="L325:L388" si="36">H325/E325</f>
        <v>2.6000000000000003E-3</v>
      </c>
      <c r="M325" s="22">
        <f>G325/(E325^0.33)</f>
        <v>4.4230000000000005E-2</v>
      </c>
    </row>
    <row r="326" spans="1:13" x14ac:dyDescent="0.15">
      <c r="A326" s="1"/>
      <c r="B326" s="9"/>
      <c r="C326" s="9"/>
      <c r="D326" s="20" t="s">
        <v>25</v>
      </c>
      <c r="E326" s="21">
        <v>1.609</v>
      </c>
      <c r="F326" s="1" t="s">
        <v>84</v>
      </c>
      <c r="G326" s="3">
        <f>4.489*E326^(0.33)/100</f>
        <v>5.2518595098424728E-2</v>
      </c>
      <c r="H326" s="4">
        <f>0.243*E326/100</f>
        <v>3.9098699999999993E-3</v>
      </c>
      <c r="I326" s="83">
        <v>0</v>
      </c>
      <c r="J326" s="28" t="s">
        <v>20</v>
      </c>
      <c r="K326" s="54">
        <f t="shared" si="34"/>
        <v>2.4299999999999994E-3</v>
      </c>
      <c r="L326" s="54">
        <f t="shared" si="36"/>
        <v>2.4299999999999994E-3</v>
      </c>
      <c r="M326" s="22">
        <f>G326/(E326^0.33)</f>
        <v>4.4889999999999999E-2</v>
      </c>
    </row>
    <row r="327" spans="1:13" x14ac:dyDescent="0.15">
      <c r="A327" s="1"/>
      <c r="B327" s="9"/>
      <c r="C327" s="9"/>
      <c r="D327" s="20" t="s">
        <v>26</v>
      </c>
      <c r="E327" s="21">
        <v>0.158</v>
      </c>
      <c r="F327" s="1" t="s">
        <v>84</v>
      </c>
      <c r="G327" s="3" t="s">
        <v>35</v>
      </c>
      <c r="H327" s="4">
        <f>0.281*E327/100</f>
        <v>4.4398000000000007E-4</v>
      </c>
      <c r="I327" s="83">
        <v>0</v>
      </c>
      <c r="J327" s="28" t="s">
        <v>20</v>
      </c>
      <c r="K327" s="54">
        <f t="shared" si="34"/>
        <v>2.8100000000000004E-3</v>
      </c>
      <c r="L327" s="54">
        <f t="shared" si="36"/>
        <v>2.8100000000000004E-3</v>
      </c>
      <c r="M327" s="108">
        <v>0</v>
      </c>
    </row>
    <row r="328" spans="1:13" x14ac:dyDescent="0.15">
      <c r="A328" s="1"/>
      <c r="B328" s="9"/>
      <c r="C328" s="9"/>
      <c r="D328" s="20" t="s">
        <v>27</v>
      </c>
      <c r="E328" s="21">
        <v>0.158</v>
      </c>
      <c r="F328" s="1" t="s">
        <v>84</v>
      </c>
      <c r="G328" s="3">
        <f>4.193*E328^(0.33)/100</f>
        <v>2.2807710988140127E-2</v>
      </c>
      <c r="H328" s="4">
        <f>0.198*E328/100</f>
        <v>3.1283999999999999E-4</v>
      </c>
      <c r="I328" s="83">
        <v>0</v>
      </c>
      <c r="J328" s="28" t="s">
        <v>20</v>
      </c>
      <c r="K328" s="54">
        <f t="shared" si="34"/>
        <v>1.98E-3</v>
      </c>
      <c r="L328" s="54">
        <f t="shared" si="36"/>
        <v>1.98E-3</v>
      </c>
      <c r="M328" s="22">
        <f t="shared" ref="M328:M333" si="37">G328/(E328^0.33)</f>
        <v>4.1929999999999995E-2</v>
      </c>
    </row>
    <row r="329" spans="1:13" x14ac:dyDescent="0.15">
      <c r="A329" s="1"/>
      <c r="B329" s="9"/>
      <c r="C329" s="9"/>
      <c r="D329" s="20" t="s">
        <v>28</v>
      </c>
      <c r="E329" s="1">
        <v>2.6230000000000002</v>
      </c>
      <c r="F329" s="1" t="s">
        <v>84</v>
      </c>
      <c r="G329" s="3">
        <f>4.181*E329^(0.33)/100</f>
        <v>5.7475611882750285E-2</v>
      </c>
      <c r="H329" s="4">
        <f>0.249*E329/100</f>
        <v>6.5312700000000005E-3</v>
      </c>
      <c r="I329" s="83">
        <v>0</v>
      </c>
      <c r="J329" s="28" t="s">
        <v>20</v>
      </c>
      <c r="K329" s="54">
        <f t="shared" si="34"/>
        <v>2.49E-3</v>
      </c>
      <c r="L329" s="54">
        <f t="shared" si="36"/>
        <v>2.49E-3</v>
      </c>
      <c r="M329" s="22">
        <f t="shared" si="37"/>
        <v>4.181E-2</v>
      </c>
    </row>
    <row r="330" spans="1:13" x14ac:dyDescent="0.15">
      <c r="A330" s="1"/>
      <c r="B330" s="9"/>
      <c r="C330" s="9"/>
      <c r="D330" s="20" t="s">
        <v>41</v>
      </c>
      <c r="E330" s="21">
        <v>9.7070000000000004E-2</v>
      </c>
      <c r="F330" s="22" t="s">
        <v>85</v>
      </c>
      <c r="G330" s="3">
        <v>1.2319999999999999E-2</v>
      </c>
      <c r="H330" s="4">
        <v>2.4130000000000001E-4</v>
      </c>
      <c r="I330" s="83">
        <v>0</v>
      </c>
      <c r="J330" s="28" t="s">
        <v>43</v>
      </c>
      <c r="K330" s="1">
        <f t="shared" si="34"/>
        <v>2.4858349644586381E-3</v>
      </c>
      <c r="L330" s="1">
        <f t="shared" si="36"/>
        <v>2.4858349644586381E-3</v>
      </c>
      <c r="M330" s="22">
        <f t="shared" si="37"/>
        <v>2.659944946637131E-2</v>
      </c>
    </row>
    <row r="331" spans="1:13" x14ac:dyDescent="0.15">
      <c r="A331" s="1"/>
      <c r="B331" s="9"/>
      <c r="C331" s="9"/>
      <c r="D331" s="20" t="s">
        <v>41</v>
      </c>
      <c r="E331" s="21">
        <v>0.10265000000000001</v>
      </c>
      <c r="F331" s="22" t="s">
        <v>85</v>
      </c>
      <c r="G331" s="3">
        <v>2.0199999999999999E-2</v>
      </c>
      <c r="H331" s="4">
        <v>4.081E-4</v>
      </c>
      <c r="I331" s="83">
        <v>0</v>
      </c>
      <c r="J331" s="28" t="s">
        <v>43</v>
      </c>
      <c r="K331" s="1">
        <f t="shared" si="34"/>
        <v>3.9756453969800295E-3</v>
      </c>
      <c r="L331" s="1">
        <f t="shared" si="36"/>
        <v>3.9756453969800295E-3</v>
      </c>
      <c r="M331" s="22">
        <f t="shared" si="37"/>
        <v>4.2815686785924185E-2</v>
      </c>
    </row>
    <row r="332" spans="1:13" x14ac:dyDescent="0.15">
      <c r="A332" s="1"/>
      <c r="B332" s="9"/>
      <c r="C332" s="9"/>
      <c r="D332" s="20" t="s">
        <v>42</v>
      </c>
      <c r="E332" s="21">
        <v>5.7000000000000002E-2</v>
      </c>
      <c r="F332" s="22" t="s">
        <v>85</v>
      </c>
      <c r="G332" s="3">
        <v>1.0704999999999999E-2</v>
      </c>
      <c r="H332" s="4">
        <v>6.5199999999999999E-5</v>
      </c>
      <c r="I332" s="83">
        <v>0</v>
      </c>
      <c r="J332" s="28" t="s">
        <v>43</v>
      </c>
      <c r="K332" s="1">
        <f t="shared" si="34"/>
        <v>1.143859649122807E-3</v>
      </c>
      <c r="L332" s="1">
        <f t="shared" si="36"/>
        <v>1.143859649122807E-3</v>
      </c>
      <c r="M332" s="22">
        <f t="shared" si="37"/>
        <v>2.75516726146171E-2</v>
      </c>
    </row>
    <row r="333" spans="1:13" x14ac:dyDescent="0.15">
      <c r="A333" s="1"/>
      <c r="B333" s="9"/>
      <c r="C333" s="9"/>
      <c r="D333" s="20" t="s">
        <v>42</v>
      </c>
      <c r="E333" s="21">
        <v>5.1700000000000003E-2</v>
      </c>
      <c r="F333" s="22" t="s">
        <v>85</v>
      </c>
      <c r="G333" s="3">
        <v>1.0749E-2</v>
      </c>
      <c r="H333" s="4">
        <v>6.0189999999999998E-5</v>
      </c>
      <c r="I333" s="83">
        <v>0</v>
      </c>
      <c r="J333" s="28" t="s">
        <v>43</v>
      </c>
      <c r="K333" s="1">
        <f t="shared" si="34"/>
        <v>1.1642166344294003E-3</v>
      </c>
      <c r="L333" s="1">
        <f t="shared" si="36"/>
        <v>1.1642166344294003E-3</v>
      </c>
      <c r="M333" s="22">
        <f t="shared" si="37"/>
        <v>2.8570390980628343E-2</v>
      </c>
    </row>
    <row r="334" spans="1:13" x14ac:dyDescent="0.15">
      <c r="A334" s="10"/>
      <c r="B334" s="9"/>
      <c r="C334" s="9"/>
      <c r="D334" s="18" t="s">
        <v>111</v>
      </c>
      <c r="E334" s="21">
        <v>0.89984193999999995</v>
      </c>
      <c r="F334" s="22" t="s">
        <v>84</v>
      </c>
      <c r="G334" s="23"/>
      <c r="H334" s="5">
        <v>3.1655080139000005E-3</v>
      </c>
      <c r="I334" s="90">
        <f>AVERAGE(I317:I333)</f>
        <v>0.88235294117647056</v>
      </c>
      <c r="J334" s="21" t="s">
        <v>206</v>
      </c>
      <c r="K334" s="29">
        <f t="shared" si="34"/>
        <v>3.5174318026714763E-3</v>
      </c>
      <c r="L334" s="29">
        <f t="shared" si="36"/>
        <v>3.5178489390036661E-3</v>
      </c>
    </row>
    <row r="335" spans="1:13" x14ac:dyDescent="0.15">
      <c r="A335" s="1"/>
      <c r="B335" s="9"/>
      <c r="C335" s="9"/>
      <c r="G335" s="23"/>
      <c r="H335" s="23"/>
      <c r="I335" s="90"/>
      <c r="J335" s="28"/>
      <c r="K335" s="1"/>
      <c r="L335" s="1"/>
      <c r="M335" s="1"/>
    </row>
    <row r="336" spans="1:13" x14ac:dyDescent="0.15">
      <c r="A336" s="1"/>
      <c r="B336" s="9"/>
      <c r="C336" s="9"/>
      <c r="E336" s="1"/>
      <c r="F336" s="9"/>
      <c r="I336" s="85"/>
    </row>
    <row r="337" spans="1:27" x14ac:dyDescent="0.15">
      <c r="A337" s="47" t="s">
        <v>96</v>
      </c>
      <c r="B337" s="48" t="s">
        <v>79</v>
      </c>
      <c r="C337" s="48" t="s">
        <v>55</v>
      </c>
      <c r="D337" s="20" t="s">
        <v>8</v>
      </c>
      <c r="E337" s="1">
        <v>17.100000000000001</v>
      </c>
      <c r="F337" s="1" t="s">
        <v>83</v>
      </c>
      <c r="G337" s="40">
        <v>8.7400000000000005E-2</v>
      </c>
      <c r="H337" s="41">
        <v>2.9100000000000003E-3</v>
      </c>
      <c r="I337" s="82">
        <v>0</v>
      </c>
      <c r="J337" s="1" t="s">
        <v>223</v>
      </c>
      <c r="K337" s="1">
        <f t="shared" ref="K337:K354" si="38">H337*COS(RADIANS(I337))/E337</f>
        <v>1.7017543859649124E-4</v>
      </c>
      <c r="L337" s="1">
        <f t="shared" si="36"/>
        <v>1.7017543859649124E-4</v>
      </c>
      <c r="M337" s="22">
        <f t="shared" ref="M337:M353" si="39">G337/(E337^0.33)</f>
        <v>3.4247014386230221E-2</v>
      </c>
    </row>
    <row r="338" spans="1:27" x14ac:dyDescent="0.15">
      <c r="A338" s="1"/>
      <c r="B338" s="9"/>
      <c r="C338" s="9"/>
      <c r="D338" s="20" t="s">
        <v>11</v>
      </c>
      <c r="E338" s="1">
        <v>90</v>
      </c>
      <c r="F338" s="1" t="s">
        <v>83</v>
      </c>
      <c r="G338" s="3">
        <v>0.115</v>
      </c>
      <c r="H338" s="4">
        <v>4.0880000000000007E-2</v>
      </c>
      <c r="I338" s="83">
        <v>22</v>
      </c>
      <c r="J338" s="1" t="s">
        <v>223</v>
      </c>
      <c r="K338" s="1">
        <f t="shared" si="38"/>
        <v>4.2114751082989192E-4</v>
      </c>
      <c r="L338" s="1">
        <f t="shared" si="36"/>
        <v>4.5422222222222229E-4</v>
      </c>
      <c r="M338" s="22">
        <f t="shared" si="39"/>
        <v>2.6049405258064116E-2</v>
      </c>
    </row>
    <row r="339" spans="1:27" x14ac:dyDescent="0.15">
      <c r="A339" s="1"/>
      <c r="B339" s="9"/>
      <c r="C339" s="9"/>
      <c r="D339" s="20" t="s">
        <v>12</v>
      </c>
      <c r="E339" s="1">
        <v>20.190000000000001</v>
      </c>
      <c r="F339" s="1" t="s">
        <v>83</v>
      </c>
      <c r="G339" s="3">
        <v>9.7400000000000014E-2</v>
      </c>
      <c r="H339" s="4">
        <v>5.5999999999999999E-3</v>
      </c>
      <c r="I339" s="84">
        <v>0</v>
      </c>
      <c r="J339" s="1" t="s">
        <v>223</v>
      </c>
      <c r="K339" s="1">
        <f t="shared" si="38"/>
        <v>2.773650321941555E-4</v>
      </c>
      <c r="L339" s="1">
        <f t="shared" si="36"/>
        <v>2.773650321941555E-4</v>
      </c>
      <c r="M339" s="22">
        <f t="shared" si="39"/>
        <v>3.6129668068775468E-2</v>
      </c>
    </row>
    <row r="340" spans="1:27" x14ac:dyDescent="0.15">
      <c r="A340" s="1"/>
      <c r="B340" s="9"/>
      <c r="C340" s="9"/>
      <c r="D340" s="20" t="s">
        <v>13</v>
      </c>
      <c r="E340" s="1">
        <v>27.7</v>
      </c>
      <c r="F340" s="1" t="s">
        <v>83</v>
      </c>
      <c r="G340" s="3">
        <v>0.16</v>
      </c>
      <c r="H340" s="4">
        <v>9.2899999999999996E-3</v>
      </c>
      <c r="I340" s="83">
        <v>0</v>
      </c>
      <c r="J340" s="1" t="s">
        <v>223</v>
      </c>
      <c r="K340" s="1">
        <f t="shared" si="38"/>
        <v>3.3537906137184116E-4</v>
      </c>
      <c r="L340" s="1">
        <f t="shared" si="36"/>
        <v>3.3537906137184116E-4</v>
      </c>
      <c r="M340" s="22">
        <f t="shared" si="39"/>
        <v>5.3468950389892321E-2</v>
      </c>
    </row>
    <row r="341" spans="1:27" x14ac:dyDescent="0.15">
      <c r="A341" s="1"/>
      <c r="B341" s="9"/>
      <c r="C341" s="9"/>
      <c r="D341" s="26" t="s">
        <v>14</v>
      </c>
      <c r="E341" s="42">
        <v>278</v>
      </c>
      <c r="F341" s="1" t="s">
        <v>83</v>
      </c>
      <c r="G341" s="6">
        <v>0.23050000000000001</v>
      </c>
      <c r="H341" s="7">
        <v>4.4999999999999998E-2</v>
      </c>
      <c r="I341" s="88">
        <v>0</v>
      </c>
      <c r="J341" s="1" t="s">
        <v>223</v>
      </c>
      <c r="K341" s="42">
        <f t="shared" si="38"/>
        <v>1.618705035971223E-4</v>
      </c>
      <c r="L341" s="42">
        <f t="shared" si="36"/>
        <v>1.618705035971223E-4</v>
      </c>
      <c r="M341" s="22">
        <f t="shared" si="39"/>
        <v>3.5986213073321741E-2</v>
      </c>
    </row>
    <row r="342" spans="1:27" x14ac:dyDescent="0.15">
      <c r="A342" s="1"/>
      <c r="B342" s="9"/>
      <c r="C342" s="9"/>
      <c r="D342" s="26" t="s">
        <v>15</v>
      </c>
      <c r="E342" s="42">
        <v>7.7</v>
      </c>
      <c r="F342" s="1" t="s">
        <v>83</v>
      </c>
      <c r="G342" s="6">
        <v>9.2249999999999999E-2</v>
      </c>
      <c r="H342" s="7">
        <v>3.1480000000000002E-3</v>
      </c>
      <c r="I342" s="93">
        <v>0</v>
      </c>
      <c r="J342" s="1" t="s">
        <v>223</v>
      </c>
      <c r="K342" s="42">
        <f t="shared" si="38"/>
        <v>4.0883116883116884E-4</v>
      </c>
      <c r="L342" s="42">
        <f t="shared" si="36"/>
        <v>4.0883116883116884E-4</v>
      </c>
      <c r="M342" s="22">
        <f t="shared" si="39"/>
        <v>4.70353560079943E-2</v>
      </c>
    </row>
    <row r="343" spans="1:27" x14ac:dyDescent="0.15">
      <c r="A343" s="1"/>
      <c r="B343" s="9"/>
      <c r="C343" s="9"/>
      <c r="D343" s="20" t="s">
        <v>14</v>
      </c>
      <c r="E343" s="1">
        <v>3.7</v>
      </c>
      <c r="F343" s="1" t="s">
        <v>83</v>
      </c>
      <c r="G343" s="40">
        <v>6.6372500000000001E-2</v>
      </c>
      <c r="H343" s="41">
        <v>7.8799999999999996E-4</v>
      </c>
      <c r="I343" s="82">
        <v>6</v>
      </c>
      <c r="J343" s="1" t="s">
        <v>222</v>
      </c>
      <c r="K343" s="1">
        <f t="shared" si="38"/>
        <v>2.1180628474329712E-4</v>
      </c>
      <c r="L343" s="1">
        <f t="shared" si="36"/>
        <v>2.1297297297297296E-4</v>
      </c>
      <c r="M343" s="22">
        <f t="shared" si="39"/>
        <v>4.3100430419225066E-2</v>
      </c>
    </row>
    <row r="344" spans="1:27" x14ac:dyDescent="0.15">
      <c r="A344" s="1"/>
      <c r="B344" s="9"/>
      <c r="C344" s="9"/>
      <c r="D344" s="20" t="s">
        <v>23</v>
      </c>
      <c r="E344" s="1">
        <v>0.443</v>
      </c>
      <c r="F344" s="9" t="s">
        <v>87</v>
      </c>
      <c r="G344" s="3">
        <f>5.969*E344^(0.33)/100</f>
        <v>4.5626253442214007E-2</v>
      </c>
      <c r="H344" s="4">
        <f>0.148*E344/100</f>
        <v>6.5563999999999998E-4</v>
      </c>
      <c r="I344" s="83">
        <v>0.88900000000000001</v>
      </c>
      <c r="J344" s="28" t="s">
        <v>20</v>
      </c>
      <c r="K344" s="54">
        <f t="shared" si="38"/>
        <v>1.4798218518716445E-3</v>
      </c>
      <c r="L344" s="54">
        <f t="shared" si="36"/>
        <v>1.48E-3</v>
      </c>
      <c r="M344" s="22">
        <f>G344/(E344^0.33)</f>
        <v>5.969E-2</v>
      </c>
      <c r="N344" s="54">
        <f>0.5*H344/E344</f>
        <v>7.3999999999999999E-4</v>
      </c>
    </row>
    <row r="345" spans="1:27" x14ac:dyDescent="0.15">
      <c r="A345" s="1"/>
      <c r="B345" s="9"/>
      <c r="C345" s="9"/>
      <c r="D345" s="20" t="s">
        <v>24</v>
      </c>
      <c r="E345" s="1">
        <v>36.667000000000002</v>
      </c>
      <c r="F345" s="9" t="s">
        <v>87</v>
      </c>
      <c r="G345" s="3">
        <f>4.595*E345^(0.33)/100</f>
        <v>0.15083300749857276</v>
      </c>
      <c r="H345" s="4">
        <f>0.244*E345/100</f>
        <v>8.9467479999999988E-2</v>
      </c>
      <c r="I345" s="83">
        <v>1.222</v>
      </c>
      <c r="J345" s="28" t="s">
        <v>20</v>
      </c>
      <c r="K345" s="54">
        <f t="shared" si="38"/>
        <v>2.439445067046863E-3</v>
      </c>
      <c r="L345" s="54">
        <f t="shared" si="36"/>
        <v>2.4399999999999995E-3</v>
      </c>
      <c r="M345" s="22">
        <f t="shared" si="39"/>
        <v>4.5949999999999998E-2</v>
      </c>
      <c r="N345" s="54">
        <f t="shared" ref="N345:N349" si="40">0.5*H345/E345</f>
        <v>1.2199999999999997E-3</v>
      </c>
    </row>
    <row r="346" spans="1:27" x14ac:dyDescent="0.15">
      <c r="A346" s="1"/>
      <c r="B346" s="9"/>
      <c r="C346" s="9"/>
      <c r="D346" s="20" t="s">
        <v>25</v>
      </c>
      <c r="E346" s="21">
        <v>1.609</v>
      </c>
      <c r="F346" s="9" t="s">
        <v>87</v>
      </c>
      <c r="G346" s="3">
        <f>5.429*E346^(0.33)/100</f>
        <v>6.3516028689986154E-2</v>
      </c>
      <c r="H346" s="4">
        <f>0.251*E346/100</f>
        <v>4.0385899999999999E-3</v>
      </c>
      <c r="I346" s="83">
        <v>0.94399999999999995</v>
      </c>
      <c r="J346" s="28" t="s">
        <v>20</v>
      </c>
      <c r="K346" s="54">
        <f t="shared" si="38"/>
        <v>2.5096593309924847E-3</v>
      </c>
      <c r="L346" s="54">
        <f t="shared" si="36"/>
        <v>2.5100000000000001E-3</v>
      </c>
      <c r="M346" s="22">
        <f t="shared" si="39"/>
        <v>5.4289999999999998E-2</v>
      </c>
      <c r="N346" s="54">
        <f t="shared" si="40"/>
        <v>1.255E-3</v>
      </c>
    </row>
    <row r="347" spans="1:27" x14ac:dyDescent="0.15">
      <c r="A347" s="1"/>
      <c r="B347" s="9"/>
      <c r="C347" s="9"/>
      <c r="D347" s="20" t="s">
        <v>26</v>
      </c>
      <c r="E347" s="1">
        <v>0.158</v>
      </c>
      <c r="F347" s="9" t="s">
        <v>87</v>
      </c>
      <c r="G347" s="3">
        <f>4.139*E347^(0.33)/100</f>
        <v>2.2513979437136181E-2</v>
      </c>
      <c r="H347" s="4">
        <f>0.108*E347/100</f>
        <v>1.7064000000000001E-4</v>
      </c>
      <c r="I347" s="83">
        <v>0.66700000000000004</v>
      </c>
      <c r="J347" s="28" t="s">
        <v>20</v>
      </c>
      <c r="K347" s="54">
        <f t="shared" si="38"/>
        <v>1.0799268195192562E-3</v>
      </c>
      <c r="L347" s="54">
        <f t="shared" si="36"/>
        <v>1.08E-3</v>
      </c>
      <c r="M347" s="22">
        <f t="shared" si="39"/>
        <v>4.1390000000000003E-2</v>
      </c>
      <c r="N347" s="54">
        <f t="shared" si="40"/>
        <v>5.4000000000000001E-4</v>
      </c>
    </row>
    <row r="348" spans="1:27" x14ac:dyDescent="0.15">
      <c r="A348" s="1"/>
      <c r="B348" s="9"/>
      <c r="C348" s="9"/>
      <c r="D348" s="20" t="s">
        <v>27</v>
      </c>
      <c r="E348" s="1">
        <v>0.158</v>
      </c>
      <c r="F348" s="9" t="s">
        <v>87</v>
      </c>
      <c r="G348" s="3">
        <f>4.07*E348^(0.33)/100</f>
        <v>2.2138655788631133E-2</v>
      </c>
      <c r="H348" s="4">
        <f>0.16*E348/100</f>
        <v>2.5280000000000002E-4</v>
      </c>
      <c r="I348" s="83">
        <v>0.222</v>
      </c>
      <c r="J348" s="28" t="s">
        <v>20</v>
      </c>
      <c r="K348" s="54">
        <f t="shared" si="38"/>
        <v>1.5999879898030923E-3</v>
      </c>
      <c r="L348" s="54">
        <f t="shared" si="36"/>
        <v>1.6000000000000001E-3</v>
      </c>
      <c r="M348" s="22">
        <f t="shared" si="39"/>
        <v>4.0700000000000007E-2</v>
      </c>
      <c r="N348" s="54">
        <f t="shared" si="40"/>
        <v>8.0000000000000004E-4</v>
      </c>
    </row>
    <row r="349" spans="1:27" x14ac:dyDescent="0.15">
      <c r="A349" s="1"/>
      <c r="B349" s="9"/>
      <c r="C349" s="9"/>
      <c r="D349" s="20" t="s">
        <v>28</v>
      </c>
      <c r="E349" s="21">
        <v>2.6230000000000002</v>
      </c>
      <c r="F349" s="9" t="s">
        <v>87</v>
      </c>
      <c r="G349" s="3">
        <f>4.87*E349^(0.33)/100</f>
        <v>6.6947196811526888E-2</v>
      </c>
      <c r="H349" s="4">
        <f>0.335*E349/100</f>
        <v>8.7870500000000011E-3</v>
      </c>
      <c r="I349" s="83">
        <v>0.41699999999999998</v>
      </c>
      <c r="J349" s="28" t="s">
        <v>20</v>
      </c>
      <c r="K349" s="54">
        <f t="shared" si="38"/>
        <v>3.3499112762806365E-3</v>
      </c>
      <c r="L349" s="54">
        <f t="shared" si="36"/>
        <v>3.3500000000000001E-3</v>
      </c>
      <c r="M349" s="22">
        <f t="shared" si="39"/>
        <v>4.8700000000000007E-2</v>
      </c>
      <c r="N349" s="54">
        <f t="shared" si="40"/>
        <v>1.6750000000000001E-3</v>
      </c>
    </row>
    <row r="350" spans="1:27" x14ac:dyDescent="0.15">
      <c r="A350" s="1"/>
      <c r="B350" s="9"/>
      <c r="C350" s="9"/>
      <c r="D350" s="20" t="s">
        <v>41</v>
      </c>
      <c r="E350" s="21">
        <v>9.7070000000000004E-2</v>
      </c>
      <c r="F350" s="1" t="s">
        <v>93</v>
      </c>
      <c r="G350" s="40">
        <v>9.7099999999999999E-3</v>
      </c>
      <c r="H350" s="41">
        <v>4.49E-5</v>
      </c>
      <c r="I350" s="82">
        <v>15</v>
      </c>
      <c r="J350" s="28" t="s">
        <v>43</v>
      </c>
      <c r="K350" s="1">
        <f t="shared" si="38"/>
        <v>4.4679169259688028E-4</v>
      </c>
      <c r="L350" s="1">
        <f t="shared" si="36"/>
        <v>4.6255279695065415E-4</v>
      </c>
      <c r="M350" s="22">
        <f t="shared" si="39"/>
        <v>2.0964338824550767E-2</v>
      </c>
      <c r="O350" s="22"/>
      <c r="P350" s="22"/>
      <c r="Q350" s="22"/>
      <c r="R350" s="22"/>
      <c r="S350" s="23"/>
      <c r="T350" s="23"/>
      <c r="U350" s="110"/>
      <c r="V350" s="57"/>
      <c r="W350" s="58"/>
      <c r="X350" s="22"/>
      <c r="Y350" s="22"/>
      <c r="Z350" s="22"/>
      <c r="AA350" s="22"/>
    </row>
    <row r="351" spans="1:27" x14ac:dyDescent="0.15">
      <c r="A351" s="1"/>
      <c r="B351" s="9"/>
      <c r="C351" s="9"/>
      <c r="D351" s="20" t="s">
        <v>41</v>
      </c>
      <c r="E351" s="21">
        <v>0.10265000000000001</v>
      </c>
      <c r="F351" s="1" t="s">
        <v>93</v>
      </c>
      <c r="G351" s="40">
        <v>1.0949E-2</v>
      </c>
      <c r="H351" s="41">
        <v>7.8800000000000004E-5</v>
      </c>
      <c r="I351" s="82">
        <v>13</v>
      </c>
      <c r="J351" s="28" t="s">
        <v>43</v>
      </c>
      <c r="K351" s="1">
        <f t="shared" si="38"/>
        <v>7.4798208577765745E-4</v>
      </c>
      <c r="L351" s="1">
        <f t="shared" si="36"/>
        <v>7.6765708718947877E-4</v>
      </c>
      <c r="M351" s="22">
        <f t="shared" si="39"/>
        <v>2.3207373991043761E-2</v>
      </c>
      <c r="O351" s="22"/>
      <c r="P351" s="22"/>
      <c r="Q351" s="22"/>
      <c r="R351" s="22"/>
      <c r="S351" s="23"/>
      <c r="T351" s="23"/>
      <c r="U351" s="110"/>
      <c r="V351" s="57"/>
      <c r="W351" s="58"/>
      <c r="X351" s="22"/>
      <c r="Y351" s="22"/>
      <c r="Z351" s="22"/>
      <c r="AA351" s="22"/>
    </row>
    <row r="352" spans="1:27" x14ac:dyDescent="0.15">
      <c r="A352" s="1"/>
      <c r="B352" s="9"/>
      <c r="C352" s="9"/>
      <c r="D352" s="20" t="s">
        <v>42</v>
      </c>
      <c r="E352" s="21">
        <v>5.7000000000000002E-2</v>
      </c>
      <c r="F352" s="1" t="s">
        <v>93</v>
      </c>
      <c r="G352" s="40">
        <v>7.7819999999999999E-3</v>
      </c>
      <c r="H352" s="41">
        <v>6.8200000000000004E-5</v>
      </c>
      <c r="I352" s="82">
        <v>15</v>
      </c>
      <c r="J352" s="28" t="s">
        <v>43</v>
      </c>
      <c r="K352" s="1">
        <f t="shared" si="38"/>
        <v>1.1557217781213063E-3</v>
      </c>
      <c r="L352" s="1">
        <f t="shared" si="36"/>
        <v>1.1964912280701754E-3</v>
      </c>
      <c r="M352" s="22">
        <f t="shared" si="39"/>
        <v>2.0028689050625902E-2</v>
      </c>
      <c r="O352" s="22"/>
      <c r="P352" s="22"/>
      <c r="Q352" s="22"/>
      <c r="R352" s="22"/>
      <c r="S352" s="23"/>
      <c r="T352" s="23"/>
      <c r="U352" s="110"/>
      <c r="V352" s="57"/>
      <c r="W352" s="58"/>
      <c r="X352" s="22"/>
      <c r="Y352" s="22"/>
      <c r="Z352" s="22"/>
      <c r="AA352" s="22"/>
    </row>
    <row r="353" spans="1:27" x14ac:dyDescent="0.15">
      <c r="A353" s="1"/>
      <c r="B353" s="9"/>
      <c r="C353" s="9"/>
      <c r="D353" s="20" t="s">
        <v>42</v>
      </c>
      <c r="E353" s="21">
        <v>5.1700000000000003E-2</v>
      </c>
      <c r="F353" s="1" t="s">
        <v>93</v>
      </c>
      <c r="G353" s="40">
        <v>7.8709999999999995E-3</v>
      </c>
      <c r="H353" s="41">
        <v>6.19E-5</v>
      </c>
      <c r="I353" s="82">
        <v>9</v>
      </c>
      <c r="J353" s="28" t="s">
        <v>43</v>
      </c>
      <c r="K353" s="1">
        <f t="shared" si="38"/>
        <v>1.1825514174630372E-3</v>
      </c>
      <c r="L353" s="1">
        <f t="shared" si="36"/>
        <v>1.1972920696324951E-3</v>
      </c>
      <c r="M353" s="22">
        <f t="shared" si="39"/>
        <v>2.092078773918743E-2</v>
      </c>
      <c r="O353" s="22"/>
      <c r="P353" s="22"/>
      <c r="Q353" s="22"/>
      <c r="R353" s="22"/>
      <c r="S353" s="23"/>
      <c r="T353" s="23"/>
      <c r="U353" s="110"/>
      <c r="V353" s="57"/>
      <c r="W353" s="58"/>
      <c r="X353" s="22"/>
      <c r="Y353" s="22"/>
      <c r="Z353" s="22"/>
      <c r="AA353" s="22"/>
    </row>
    <row r="354" spans="1:27" x14ac:dyDescent="0.15">
      <c r="A354" s="10"/>
      <c r="B354" s="9"/>
      <c r="C354" s="9"/>
      <c r="D354" s="18" t="s">
        <v>111</v>
      </c>
      <c r="E354" s="21">
        <v>0.89984193999999995</v>
      </c>
      <c r="F354" s="22" t="s">
        <v>83</v>
      </c>
      <c r="G354" s="23"/>
      <c r="H354" s="70">
        <v>2.1931363567799997E-3</v>
      </c>
      <c r="I354" s="90">
        <f>AVERAGE(I337:I353)</f>
        <v>4.962411764705883</v>
      </c>
      <c r="J354" s="21" t="s">
        <v>206</v>
      </c>
      <c r="K354" s="72">
        <f t="shared" si="38"/>
        <v>2.4281105843462839E-3</v>
      </c>
      <c r="L354" s="72">
        <f t="shared" si="36"/>
        <v>2.4372462087952911E-3</v>
      </c>
      <c r="O354" s="22"/>
      <c r="P354" s="22"/>
      <c r="Q354" s="22"/>
      <c r="R354" s="22"/>
      <c r="S354" s="23"/>
      <c r="T354" s="23"/>
      <c r="U354" s="110"/>
      <c r="V354" s="57"/>
      <c r="W354" s="58"/>
      <c r="X354" s="22"/>
      <c r="Y354" s="22"/>
      <c r="Z354" s="22"/>
      <c r="AA354" s="22"/>
    </row>
    <row r="355" spans="1:27" x14ac:dyDescent="0.15">
      <c r="A355" s="1"/>
      <c r="B355" s="9"/>
      <c r="C355" s="9"/>
      <c r="E355" s="1"/>
      <c r="F355" s="9"/>
      <c r="I355" s="85"/>
    </row>
    <row r="356" spans="1:27" x14ac:dyDescent="0.15">
      <c r="A356" s="1"/>
      <c r="B356" s="9"/>
      <c r="C356" s="9"/>
      <c r="I356" s="85"/>
    </row>
    <row r="357" spans="1:27" x14ac:dyDescent="0.15">
      <c r="A357" s="47" t="s">
        <v>95</v>
      </c>
      <c r="B357" s="48" t="s">
        <v>79</v>
      </c>
      <c r="C357" s="48" t="s">
        <v>55</v>
      </c>
      <c r="D357" s="20" t="s">
        <v>8</v>
      </c>
      <c r="E357" s="1">
        <v>17.100000000000001</v>
      </c>
      <c r="F357" s="1" t="s">
        <v>94</v>
      </c>
      <c r="G357" s="40">
        <v>0.14849999999999999</v>
      </c>
      <c r="H357" s="56">
        <v>2.2630000000000001E-2</v>
      </c>
      <c r="I357" s="82">
        <v>0.152</v>
      </c>
      <c r="J357" s="1" t="s">
        <v>223</v>
      </c>
      <c r="K357" s="1">
        <f t="shared" ref="K357:K372" si="41">H357*COS(RADIANS(I357))/E357</f>
        <v>1.3233871559312689E-3</v>
      </c>
      <c r="L357" s="1">
        <f t="shared" si="36"/>
        <v>1.3233918128654971E-3</v>
      </c>
      <c r="M357" s="22">
        <f t="shared" ref="M357:M371" si="42">G357/(E357^0.33)</f>
        <v>5.8188577075002149E-2</v>
      </c>
    </row>
    <row r="358" spans="1:27" x14ac:dyDescent="0.15">
      <c r="A358" s="1"/>
      <c r="B358" s="9"/>
      <c r="C358" s="9"/>
      <c r="D358" s="20" t="s">
        <v>11</v>
      </c>
      <c r="E358" s="1">
        <v>90</v>
      </c>
      <c r="F358" s="1" t="s">
        <v>94</v>
      </c>
      <c r="G358" s="3">
        <v>0.16040000000000001</v>
      </c>
      <c r="H358" s="4">
        <v>0.12548999999999999</v>
      </c>
      <c r="I358" s="83">
        <v>0</v>
      </c>
      <c r="J358" s="1" t="s">
        <v>223</v>
      </c>
      <c r="K358" s="1">
        <f t="shared" si="41"/>
        <v>1.3943333333333331E-3</v>
      </c>
      <c r="L358" s="1">
        <f t="shared" si="36"/>
        <v>1.3943333333333331E-3</v>
      </c>
      <c r="M358" s="22">
        <f t="shared" si="42"/>
        <v>3.6333257420812906E-2</v>
      </c>
    </row>
    <row r="359" spans="1:27" x14ac:dyDescent="0.15">
      <c r="A359" s="1"/>
      <c r="B359" s="9"/>
      <c r="C359" s="9"/>
      <c r="D359" s="20" t="s">
        <v>12</v>
      </c>
      <c r="E359" s="1">
        <v>20.190000000000001</v>
      </c>
      <c r="F359" s="1" t="s">
        <v>94</v>
      </c>
      <c r="G359" s="3">
        <v>0.1265</v>
      </c>
      <c r="H359" s="4">
        <v>3.0700000000000002E-2</v>
      </c>
      <c r="I359" s="84">
        <v>0</v>
      </c>
      <c r="J359" s="1" t="s">
        <v>223</v>
      </c>
      <c r="K359" s="1">
        <f t="shared" si="41"/>
        <v>1.5205547300643882E-3</v>
      </c>
      <c r="L359" s="1">
        <f t="shared" si="36"/>
        <v>1.5205547300643882E-3</v>
      </c>
      <c r="M359" s="22">
        <f t="shared" si="42"/>
        <v>4.6924055551335692E-2</v>
      </c>
    </row>
    <row r="360" spans="1:27" x14ac:dyDescent="0.15">
      <c r="A360" s="1"/>
      <c r="B360" s="9"/>
      <c r="C360" s="9"/>
      <c r="D360" s="20" t="s">
        <v>13</v>
      </c>
      <c r="E360" s="1">
        <v>27.7</v>
      </c>
      <c r="F360" s="1" t="s">
        <v>94</v>
      </c>
      <c r="G360" s="3">
        <v>0.19280000000000003</v>
      </c>
      <c r="H360" s="4">
        <v>3.61E-2</v>
      </c>
      <c r="I360" s="83">
        <v>0</v>
      </c>
      <c r="J360" s="1" t="s">
        <v>223</v>
      </c>
      <c r="K360" s="1">
        <f t="shared" si="41"/>
        <v>1.3032490974729243E-3</v>
      </c>
      <c r="L360" s="1">
        <f t="shared" si="36"/>
        <v>1.3032490974729243E-3</v>
      </c>
      <c r="M360" s="22">
        <f t="shared" si="42"/>
        <v>6.4430085219820257E-2</v>
      </c>
    </row>
    <row r="361" spans="1:27" x14ac:dyDescent="0.15">
      <c r="A361" s="1"/>
      <c r="B361" s="9"/>
      <c r="C361" s="9"/>
      <c r="D361" s="26" t="s">
        <v>14</v>
      </c>
      <c r="E361" s="42">
        <v>278</v>
      </c>
      <c r="F361" s="1" t="s">
        <v>94</v>
      </c>
      <c r="G361" s="6">
        <v>0.2901111111111111</v>
      </c>
      <c r="H361" s="7">
        <v>0.17119999999999999</v>
      </c>
      <c r="I361" s="88">
        <v>0</v>
      </c>
      <c r="J361" s="1" t="s">
        <v>223</v>
      </c>
      <c r="K361" s="42">
        <f t="shared" si="41"/>
        <v>6.1582733812949641E-4</v>
      </c>
      <c r="L361" s="42">
        <f t="shared" si="36"/>
        <v>6.1582733812949641E-4</v>
      </c>
      <c r="M361" s="22">
        <f t="shared" si="42"/>
        <v>4.5292842773893977E-2</v>
      </c>
    </row>
    <row r="362" spans="1:27" x14ac:dyDescent="0.15">
      <c r="A362" s="1"/>
      <c r="B362" s="9"/>
      <c r="C362" s="9"/>
      <c r="D362" s="26" t="s">
        <v>15</v>
      </c>
      <c r="E362" s="42">
        <v>7.7</v>
      </c>
      <c r="F362" s="1" t="s">
        <v>94</v>
      </c>
      <c r="G362" s="6">
        <v>0.05</v>
      </c>
      <c r="H362" s="7">
        <v>5.9429999999999995E-3</v>
      </c>
      <c r="I362" s="93">
        <v>0</v>
      </c>
      <c r="J362" s="1" t="s">
        <v>223</v>
      </c>
      <c r="K362" s="42">
        <f t="shared" si="41"/>
        <v>7.7181818181818178E-4</v>
      </c>
      <c r="L362" s="42">
        <f t="shared" si="36"/>
        <v>7.7181818181818178E-4</v>
      </c>
      <c r="M362" s="22">
        <f t="shared" si="42"/>
        <v>2.5493417890511814E-2</v>
      </c>
    </row>
    <row r="363" spans="1:27" x14ac:dyDescent="0.15">
      <c r="A363" s="1"/>
      <c r="B363" s="9"/>
      <c r="C363" s="9"/>
      <c r="D363" s="20" t="s">
        <v>14</v>
      </c>
      <c r="E363" s="1">
        <v>3.7</v>
      </c>
      <c r="F363" s="1" t="s">
        <v>94</v>
      </c>
      <c r="G363" s="40">
        <v>8.83525E-2</v>
      </c>
      <c r="H363" s="41">
        <v>3.1763E-3</v>
      </c>
      <c r="I363" s="82">
        <v>0</v>
      </c>
      <c r="J363" s="1" t="s">
        <v>222</v>
      </c>
      <c r="K363" s="1">
        <f t="shared" si="41"/>
        <v>8.5845945945945941E-4</v>
      </c>
      <c r="L363" s="1">
        <f t="shared" si="36"/>
        <v>8.5845945945945941E-4</v>
      </c>
      <c r="M363" s="22">
        <f t="shared" si="42"/>
        <v>5.7373622789778637E-2</v>
      </c>
    </row>
    <row r="364" spans="1:27" x14ac:dyDescent="0.15">
      <c r="A364" s="1"/>
      <c r="B364" s="9"/>
      <c r="C364" s="9"/>
      <c r="D364" s="20" t="s">
        <v>23</v>
      </c>
      <c r="E364" s="1">
        <v>0.443</v>
      </c>
      <c r="F364" s="9" t="s">
        <v>87</v>
      </c>
      <c r="G364" s="3">
        <f>5.969*E364^(0.33)/100</f>
        <v>4.5626253442214007E-2</v>
      </c>
      <c r="H364" s="4">
        <f>0.148*E364/100</f>
        <v>6.5563999999999998E-4</v>
      </c>
      <c r="I364" s="83">
        <v>0.88900000000000001</v>
      </c>
      <c r="J364" s="28" t="s">
        <v>20</v>
      </c>
      <c r="K364" s="54">
        <f t="shared" si="41"/>
        <v>1.4798218518716445E-3</v>
      </c>
      <c r="L364" s="54">
        <f t="shared" si="36"/>
        <v>1.48E-3</v>
      </c>
      <c r="M364" s="22">
        <f t="shared" si="42"/>
        <v>5.969E-2</v>
      </c>
      <c r="N364" s="54">
        <f>0.5*H364*COS(RADIANS(I364))/E364</f>
        <v>7.3991092593582225E-4</v>
      </c>
    </row>
    <row r="365" spans="1:27" x14ac:dyDescent="0.15">
      <c r="A365" s="1"/>
      <c r="B365" s="9"/>
      <c r="C365" s="9"/>
      <c r="D365" s="20" t="s">
        <v>24</v>
      </c>
      <c r="E365" s="1">
        <v>36.667000000000002</v>
      </c>
      <c r="F365" s="9" t="s">
        <v>87</v>
      </c>
      <c r="G365" s="3">
        <f>4.595*E365^(0.33)/100</f>
        <v>0.15083300749857276</v>
      </c>
      <c r="H365" s="4">
        <f>0.244*E365/100</f>
        <v>8.9467479999999988E-2</v>
      </c>
      <c r="I365" s="83">
        <v>1.222</v>
      </c>
      <c r="J365" s="28" t="s">
        <v>20</v>
      </c>
      <c r="K365" s="54">
        <f t="shared" si="41"/>
        <v>2.439445067046863E-3</v>
      </c>
      <c r="L365" s="54">
        <f t="shared" si="36"/>
        <v>2.4399999999999995E-3</v>
      </c>
      <c r="M365" s="22">
        <f t="shared" si="42"/>
        <v>4.5949999999999998E-2</v>
      </c>
      <c r="N365" s="54">
        <f>0.5*H365*COS(RADIANS(I365))/E365</f>
        <v>1.2197225335234315E-3</v>
      </c>
    </row>
    <row r="366" spans="1:27" x14ac:dyDescent="0.15">
      <c r="A366" s="1"/>
      <c r="B366" s="9"/>
      <c r="C366" s="9"/>
      <c r="D366" s="20" t="s">
        <v>25</v>
      </c>
      <c r="E366" s="21">
        <v>1.609</v>
      </c>
      <c r="F366" s="9" t="s">
        <v>87</v>
      </c>
      <c r="G366" s="3">
        <f>5.429*E366^(0.33)/100</f>
        <v>6.3516028689986154E-2</v>
      </c>
      <c r="H366" s="4">
        <f>0.251*E366/100</f>
        <v>4.0385899999999999E-3</v>
      </c>
      <c r="I366" s="83">
        <v>0.94399999999999995</v>
      </c>
      <c r="J366" s="28" t="s">
        <v>20</v>
      </c>
      <c r="K366" s="54">
        <f t="shared" si="41"/>
        <v>2.5096593309924847E-3</v>
      </c>
      <c r="L366" s="54">
        <f t="shared" si="36"/>
        <v>2.5100000000000001E-3</v>
      </c>
      <c r="M366" s="22">
        <f t="shared" si="42"/>
        <v>5.4289999999999998E-2</v>
      </c>
      <c r="N366" s="54">
        <f>0.5*H366*COS(RADIANS(I366))/E366</f>
        <v>1.2548296654962424E-3</v>
      </c>
    </row>
    <row r="367" spans="1:27" x14ac:dyDescent="0.15">
      <c r="A367" s="1"/>
      <c r="B367" s="9"/>
      <c r="C367" s="9"/>
      <c r="D367" s="20" t="s">
        <v>26</v>
      </c>
      <c r="E367" s="1">
        <v>0.158</v>
      </c>
      <c r="F367" s="9" t="s">
        <v>87</v>
      </c>
      <c r="G367" s="3">
        <f>4.139*E367^(0.33)/100</f>
        <v>2.2513979437136181E-2</v>
      </c>
      <c r="H367" s="4">
        <f>0.108*E367/100</f>
        <v>1.7064000000000001E-4</v>
      </c>
      <c r="I367" s="83">
        <v>0.66700000000000004</v>
      </c>
      <c r="J367" s="28" t="s">
        <v>20</v>
      </c>
      <c r="K367" s="54">
        <f t="shared" si="41"/>
        <v>1.0799268195192562E-3</v>
      </c>
      <c r="L367" s="54">
        <f t="shared" si="36"/>
        <v>1.08E-3</v>
      </c>
      <c r="M367" s="22">
        <f t="shared" si="42"/>
        <v>4.1390000000000003E-2</v>
      </c>
      <c r="N367" s="54">
        <f>0.5*H367*COS(RADIANS(I367))/E367</f>
        <v>5.399634097596281E-4</v>
      </c>
    </row>
    <row r="368" spans="1:27" x14ac:dyDescent="0.15">
      <c r="A368" s="1"/>
      <c r="B368" s="9"/>
      <c r="C368" s="9"/>
      <c r="D368" s="20" t="s">
        <v>27</v>
      </c>
      <c r="E368" s="1">
        <v>0.158</v>
      </c>
      <c r="F368" s="9" t="s">
        <v>87</v>
      </c>
      <c r="G368" s="3">
        <f>4.07*E368^(0.33)/100</f>
        <v>2.2138655788631133E-2</v>
      </c>
      <c r="H368" s="4">
        <f>0.16*E368/100</f>
        <v>2.5280000000000002E-4</v>
      </c>
      <c r="I368" s="83">
        <v>0.222</v>
      </c>
      <c r="J368" s="28" t="s">
        <v>20</v>
      </c>
      <c r="K368" s="54">
        <f t="shared" si="41"/>
        <v>1.5999879898030923E-3</v>
      </c>
      <c r="L368" s="54">
        <f t="shared" si="36"/>
        <v>1.6000000000000001E-3</v>
      </c>
      <c r="M368" s="22">
        <f t="shared" si="42"/>
        <v>4.0700000000000007E-2</v>
      </c>
      <c r="N368" s="54">
        <f>0.5*H368*COS(RADIANS(I368))/E368</f>
        <v>7.9999399490154617E-4</v>
      </c>
    </row>
    <row r="369" spans="1:14" x14ac:dyDescent="0.15">
      <c r="A369" s="1"/>
      <c r="B369" s="9"/>
      <c r="C369" s="9"/>
      <c r="D369" s="20" t="s">
        <v>28</v>
      </c>
      <c r="E369" s="21">
        <v>2.6230000000000002</v>
      </c>
      <c r="F369" s="9" t="s">
        <v>87</v>
      </c>
      <c r="G369" s="3">
        <f>4.87*E369^(0.33)/100</f>
        <v>6.6947196811526888E-2</v>
      </c>
      <c r="H369" s="4">
        <f>0.335*E369/100</f>
        <v>8.7870500000000011E-3</v>
      </c>
      <c r="I369" s="83">
        <v>0.41699999999999998</v>
      </c>
      <c r="J369" s="28" t="s">
        <v>20</v>
      </c>
      <c r="K369" s="54">
        <f t="shared" si="41"/>
        <v>3.3499112762806365E-3</v>
      </c>
      <c r="L369" s="54">
        <f t="shared" si="36"/>
        <v>3.3500000000000001E-3</v>
      </c>
      <c r="M369" s="22">
        <f t="shared" si="42"/>
        <v>4.8700000000000007E-2</v>
      </c>
      <c r="N369" s="54">
        <f>(0.5*H369)*COS(RADIANS(I369))/E369</f>
        <v>1.6749556381403183E-3</v>
      </c>
    </row>
    <row r="370" spans="1:14" x14ac:dyDescent="0.15">
      <c r="A370" s="1"/>
      <c r="B370" s="9"/>
      <c r="C370" s="9"/>
      <c r="D370" s="20" t="s">
        <v>41</v>
      </c>
      <c r="E370" s="21">
        <v>9.7070000000000004E-2</v>
      </c>
      <c r="F370" s="1" t="s">
        <v>89</v>
      </c>
      <c r="G370" s="40">
        <v>6.3569999999999998E-3</v>
      </c>
      <c r="H370" s="41">
        <v>8.3999999999999995E-5</v>
      </c>
      <c r="I370" s="82">
        <v>12</v>
      </c>
      <c r="J370" s="28" t="s">
        <v>43</v>
      </c>
      <c r="K370" s="1">
        <f t="shared" si="41"/>
        <v>8.4644481777727072E-4</v>
      </c>
      <c r="L370" s="1">
        <f t="shared" si="36"/>
        <v>8.653548985268362E-4</v>
      </c>
      <c r="M370" s="22">
        <f t="shared" si="42"/>
        <v>1.3725056839100845E-2</v>
      </c>
    </row>
    <row r="371" spans="1:14" x14ac:dyDescent="0.15">
      <c r="A371" s="1"/>
      <c r="B371" s="9"/>
      <c r="C371" s="9"/>
      <c r="D371" s="20" t="s">
        <v>41</v>
      </c>
      <c r="E371" s="21">
        <v>0.10265000000000001</v>
      </c>
      <c r="F371" s="1" t="s">
        <v>89</v>
      </c>
      <c r="G371" s="40">
        <v>9.1219999999999999E-3</v>
      </c>
      <c r="H371" s="41">
        <v>1.3889999999999999E-4</v>
      </c>
      <c r="I371" s="82">
        <v>20</v>
      </c>
      <c r="J371" s="28" t="s">
        <v>43</v>
      </c>
      <c r="K371" s="1">
        <f t="shared" si="41"/>
        <v>1.271537311516441E-3</v>
      </c>
      <c r="L371" s="1">
        <f t="shared" si="36"/>
        <v>1.3531417437895761E-3</v>
      </c>
      <c r="M371" s="22">
        <f t="shared" si="42"/>
        <v>1.9334885884217844E-2</v>
      </c>
    </row>
    <row r="372" spans="1:14" x14ac:dyDescent="0.15">
      <c r="A372" s="10"/>
      <c r="B372" s="9"/>
      <c r="C372" s="9"/>
      <c r="D372" s="18" t="s">
        <v>111</v>
      </c>
      <c r="E372" s="21">
        <v>0.89984193999999995</v>
      </c>
      <c r="F372" s="22" t="s">
        <v>94</v>
      </c>
      <c r="G372" s="103"/>
      <c r="H372" s="101">
        <v>2.3714809136999998E-3</v>
      </c>
      <c r="I372" s="90">
        <f>AVERAGE(I357:I371)</f>
        <v>2.4341999999999997</v>
      </c>
      <c r="J372" s="21" t="s">
        <v>206</v>
      </c>
      <c r="K372" s="72">
        <f t="shared" si="41"/>
        <v>2.6330635612857828E-3</v>
      </c>
      <c r="L372" s="72">
        <f t="shared" si="36"/>
        <v>2.6354416351164959E-3</v>
      </c>
      <c r="M372" s="9"/>
    </row>
    <row r="373" spans="1:14" x14ac:dyDescent="0.15">
      <c r="A373" s="1"/>
      <c r="B373" s="9"/>
      <c r="C373" s="9"/>
      <c r="E373" s="1"/>
      <c r="F373" s="9"/>
      <c r="I373" s="85"/>
    </row>
    <row r="374" spans="1:14" x14ac:dyDescent="0.15">
      <c r="A374" s="1"/>
      <c r="B374" s="9"/>
      <c r="C374" s="9"/>
      <c r="I374" s="85"/>
    </row>
    <row r="375" spans="1:14" x14ac:dyDescent="0.15">
      <c r="A375" s="47" t="s">
        <v>90</v>
      </c>
      <c r="B375" s="48" t="s">
        <v>79</v>
      </c>
      <c r="C375" s="48" t="s">
        <v>55</v>
      </c>
      <c r="D375" s="20" t="s">
        <v>8</v>
      </c>
      <c r="E375" s="1">
        <v>17.100000000000001</v>
      </c>
      <c r="F375" s="1" t="s">
        <v>91</v>
      </c>
      <c r="G375" s="40">
        <v>6.0374999999999998E-2</v>
      </c>
      <c r="H375" s="41">
        <v>1.166E-2</v>
      </c>
      <c r="I375" s="82">
        <v>23.6</v>
      </c>
      <c r="J375" s="1" t="s">
        <v>223</v>
      </c>
      <c r="K375" s="1">
        <f t="shared" ref="K375:K390" si="43">H375*COS(RADIANS(I375))/E375</f>
        <v>6.2484148694126975E-4</v>
      </c>
      <c r="L375" s="1">
        <f t="shared" si="36"/>
        <v>6.8187134502923968E-4</v>
      </c>
      <c r="M375" s="22">
        <f t="shared" ref="M375:M389" si="44">G375/(E375^0.33)</f>
        <v>2.365747704311956E-2</v>
      </c>
    </row>
    <row r="376" spans="1:14" x14ac:dyDescent="0.15">
      <c r="A376" s="1"/>
      <c r="B376" s="9"/>
      <c r="C376" s="9"/>
      <c r="D376" s="20" t="s">
        <v>11</v>
      </c>
      <c r="E376" s="1">
        <v>90</v>
      </c>
      <c r="F376" s="1" t="s">
        <v>91</v>
      </c>
      <c r="G376" s="3">
        <v>4.8399999999999999E-2</v>
      </c>
      <c r="H376" s="4">
        <v>4.496E-2</v>
      </c>
      <c r="I376" s="83">
        <v>28</v>
      </c>
      <c r="J376" s="1" t="s">
        <v>223</v>
      </c>
      <c r="K376" s="1">
        <f t="shared" si="43"/>
        <v>4.4108137527708172E-4</v>
      </c>
      <c r="L376" s="1">
        <f t="shared" si="36"/>
        <v>4.995555555555556E-4</v>
      </c>
      <c r="M376" s="22">
        <f t="shared" si="44"/>
        <v>1.096340186513307E-2</v>
      </c>
    </row>
    <row r="377" spans="1:14" x14ac:dyDescent="0.15">
      <c r="A377" s="1"/>
      <c r="B377" s="9"/>
      <c r="C377" s="9"/>
      <c r="D377" s="20" t="s">
        <v>12</v>
      </c>
      <c r="E377" s="1">
        <v>20.190000000000001</v>
      </c>
      <c r="F377" s="1" t="s">
        <v>91</v>
      </c>
      <c r="G377" s="3">
        <v>0.10077999999999999</v>
      </c>
      <c r="H377" s="4">
        <v>1.4999999999999999E-2</v>
      </c>
      <c r="I377" s="84">
        <v>0</v>
      </c>
      <c r="J377" s="1" t="s">
        <v>223</v>
      </c>
      <c r="K377" s="1">
        <f t="shared" si="43"/>
        <v>7.429420505200594E-4</v>
      </c>
      <c r="L377" s="1">
        <f t="shared" si="36"/>
        <v>7.429420505200594E-4</v>
      </c>
      <c r="M377" s="22">
        <f t="shared" si="44"/>
        <v>3.73834491578151E-2</v>
      </c>
    </row>
    <row r="378" spans="1:14" x14ac:dyDescent="0.15">
      <c r="A378" s="1"/>
      <c r="B378" s="9"/>
      <c r="C378" s="9"/>
      <c r="D378" s="20" t="s">
        <v>13</v>
      </c>
      <c r="E378" s="1">
        <v>27.7</v>
      </c>
      <c r="F378" s="1" t="s">
        <v>91</v>
      </c>
      <c r="G378" s="3">
        <v>0.115</v>
      </c>
      <c r="H378" s="4">
        <v>2.98E-3</v>
      </c>
      <c r="I378" s="83">
        <v>0</v>
      </c>
      <c r="J378" s="1" t="s">
        <v>223</v>
      </c>
      <c r="K378" s="1">
        <f t="shared" si="43"/>
        <v>1.075812274368231E-4</v>
      </c>
      <c r="L378" s="1">
        <f t="shared" si="36"/>
        <v>1.075812274368231E-4</v>
      </c>
      <c r="M378" s="22">
        <f t="shared" si="44"/>
        <v>3.8430808092735108E-2</v>
      </c>
    </row>
    <row r="379" spans="1:14" x14ac:dyDescent="0.15">
      <c r="A379" s="1"/>
      <c r="B379" s="9"/>
      <c r="C379" s="9"/>
      <c r="D379" s="26" t="s">
        <v>14</v>
      </c>
      <c r="E379" s="42">
        <v>278</v>
      </c>
      <c r="F379" s="1" t="s">
        <v>91</v>
      </c>
      <c r="G379" s="3">
        <v>0.15</v>
      </c>
      <c r="H379" s="4">
        <v>9.2600000000000002E-2</v>
      </c>
      <c r="I379" s="83">
        <v>0</v>
      </c>
      <c r="J379" s="1" t="s">
        <v>223</v>
      </c>
      <c r="K379" s="1">
        <f t="shared" si="43"/>
        <v>3.3309352517985611E-4</v>
      </c>
      <c r="L379" s="1">
        <f t="shared" si="36"/>
        <v>3.3309352517985611E-4</v>
      </c>
      <c r="M379" s="22">
        <f t="shared" si="44"/>
        <v>2.3418359917562952E-2</v>
      </c>
    </row>
    <row r="380" spans="1:14" x14ac:dyDescent="0.15">
      <c r="A380" s="1"/>
      <c r="B380" s="9"/>
      <c r="C380" s="9"/>
      <c r="D380" s="26" t="s">
        <v>15</v>
      </c>
      <c r="E380" s="42">
        <v>7.7</v>
      </c>
      <c r="F380" s="1" t="s">
        <v>91</v>
      </c>
      <c r="G380" s="3">
        <v>1.3714285999999999E-2</v>
      </c>
      <c r="H380" s="4">
        <v>5.6420000000000003E-3</v>
      </c>
      <c r="I380" s="83">
        <v>28.333333329999999</v>
      </c>
      <c r="J380" s="1" t="s">
        <v>223</v>
      </c>
      <c r="K380" s="1">
        <f t="shared" si="43"/>
        <v>6.4494756483038569E-4</v>
      </c>
      <c r="L380" s="1">
        <f t="shared" si="36"/>
        <v>7.327272727272727E-4</v>
      </c>
      <c r="M380" s="22">
        <f t="shared" si="44"/>
        <v>6.9924804813599134E-3</v>
      </c>
    </row>
    <row r="381" spans="1:14" x14ac:dyDescent="0.15">
      <c r="A381" s="1"/>
      <c r="B381" s="9"/>
      <c r="C381" s="9"/>
      <c r="D381" s="20" t="s">
        <v>14</v>
      </c>
      <c r="E381" s="1">
        <v>3.7</v>
      </c>
      <c r="F381" s="1" t="s">
        <v>91</v>
      </c>
      <c r="G381" s="40">
        <v>3.9703000000000002E-2</v>
      </c>
      <c r="H381" s="41">
        <v>1.4319999999999999E-3</v>
      </c>
      <c r="I381" s="82">
        <v>12</v>
      </c>
      <c r="J381" s="1" t="s">
        <v>222</v>
      </c>
      <c r="K381" s="1">
        <f t="shared" si="43"/>
        <v>3.7856955790562419E-4</v>
      </c>
      <c r="L381" s="1">
        <f t="shared" si="36"/>
        <v>3.8702702702702696E-4</v>
      </c>
      <c r="M381" s="22">
        <f t="shared" si="44"/>
        <v>2.578200894850266E-2</v>
      </c>
    </row>
    <row r="382" spans="1:14" x14ac:dyDescent="0.15">
      <c r="A382" s="1"/>
      <c r="B382" s="9"/>
      <c r="C382" s="9"/>
      <c r="D382" s="20" t="s">
        <v>23</v>
      </c>
      <c r="E382" s="1">
        <v>0.443</v>
      </c>
      <c r="F382" s="9" t="s">
        <v>92</v>
      </c>
      <c r="G382" s="3">
        <f>4.997*E382^(0.33)/100</f>
        <v>3.819641287497795E-2</v>
      </c>
      <c r="H382" s="4">
        <f>0.083*E382/100</f>
        <v>3.6769000000000005E-4</v>
      </c>
      <c r="I382" s="83">
        <v>0.55600000000000005</v>
      </c>
      <c r="J382" s="28" t="s">
        <v>20</v>
      </c>
      <c r="K382" s="54">
        <f t="shared" si="43"/>
        <v>8.299609204992386E-4</v>
      </c>
      <c r="L382" s="54">
        <f t="shared" si="36"/>
        <v>8.3000000000000012E-4</v>
      </c>
      <c r="M382" s="22">
        <f t="shared" si="44"/>
        <v>4.9970000000000001E-2</v>
      </c>
    </row>
    <row r="383" spans="1:14" x14ac:dyDescent="0.15">
      <c r="A383" s="1"/>
      <c r="B383" s="9"/>
      <c r="C383" s="9"/>
      <c r="D383" s="20" t="s">
        <v>24</v>
      </c>
      <c r="E383" s="1">
        <v>36.667000000000002</v>
      </c>
      <c r="F383" s="9" t="s">
        <v>92</v>
      </c>
      <c r="G383" s="3">
        <f>3.974*E383^(0.33)/100</f>
        <v>0.13044839429800395</v>
      </c>
      <c r="H383" s="4">
        <f>0.068*E383/100</f>
        <v>2.4933560000000004E-2</v>
      </c>
      <c r="I383" s="83">
        <v>0.44400000000000001</v>
      </c>
      <c r="J383" s="28" t="s">
        <v>20</v>
      </c>
      <c r="K383" s="54">
        <f t="shared" si="43"/>
        <v>6.799795827418868E-4</v>
      </c>
      <c r="L383" s="54">
        <f t="shared" si="36"/>
        <v>6.8000000000000005E-4</v>
      </c>
      <c r="M383" s="22">
        <f t="shared" si="44"/>
        <v>3.9739999999999998E-2</v>
      </c>
    </row>
    <row r="384" spans="1:14" x14ac:dyDescent="0.15">
      <c r="A384" s="1"/>
      <c r="B384" s="9"/>
      <c r="C384" s="9"/>
      <c r="D384" s="20" t="s">
        <v>25</v>
      </c>
      <c r="E384" s="21">
        <v>1.609</v>
      </c>
      <c r="F384" s="9" t="s">
        <v>92</v>
      </c>
      <c r="G384" s="3">
        <f>5.241*E384^(0.33)/100</f>
        <v>6.1316541971673869E-2</v>
      </c>
      <c r="H384" s="4">
        <f>0.108*E384/100</f>
        <v>1.7377200000000001E-3</v>
      </c>
      <c r="I384" s="83">
        <v>0.44400000000000001</v>
      </c>
      <c r="J384" s="28" t="s">
        <v>20</v>
      </c>
      <c r="K384" s="54">
        <f t="shared" si="43"/>
        <v>1.0799675725900553E-3</v>
      </c>
      <c r="L384" s="54">
        <f t="shared" si="36"/>
        <v>1.08E-3</v>
      </c>
      <c r="M384" s="22">
        <f t="shared" si="44"/>
        <v>5.2409999999999998E-2</v>
      </c>
    </row>
    <row r="385" spans="1:13" x14ac:dyDescent="0.15">
      <c r="A385" s="1"/>
      <c r="B385" s="9"/>
      <c r="C385" s="9"/>
      <c r="D385" s="20" t="s">
        <v>26</v>
      </c>
      <c r="E385" s="1">
        <v>0.158</v>
      </c>
      <c r="F385" s="9" t="s">
        <v>92</v>
      </c>
      <c r="G385" s="3">
        <f>4.074*E385^(0.33)/100</f>
        <v>2.2160413681298091E-2</v>
      </c>
      <c r="H385" s="4">
        <f>0.101*E385/100</f>
        <v>1.5957999999999999E-4</v>
      </c>
      <c r="I385" s="83">
        <v>0.33300000000000002</v>
      </c>
      <c r="J385" s="28" t="s">
        <v>20</v>
      </c>
      <c r="K385" s="54">
        <f t="shared" si="43"/>
        <v>1.0099829417938803E-3</v>
      </c>
      <c r="L385" s="54">
        <f t="shared" si="36"/>
        <v>1.0099999999999998E-3</v>
      </c>
      <c r="M385" s="22">
        <f t="shared" si="44"/>
        <v>4.0740000000000005E-2</v>
      </c>
    </row>
    <row r="386" spans="1:13" x14ac:dyDescent="0.15">
      <c r="A386" s="1"/>
      <c r="B386" s="9"/>
      <c r="C386" s="9"/>
      <c r="D386" s="20" t="s">
        <v>27</v>
      </c>
      <c r="E386" s="1">
        <v>0.158</v>
      </c>
      <c r="F386" s="9" t="s">
        <v>92</v>
      </c>
      <c r="G386" s="3">
        <f>4.331*E386^(0.33)/100</f>
        <v>2.3558358285150231E-2</v>
      </c>
      <c r="H386" s="4">
        <f>0.105*E386/100</f>
        <v>1.6589999999999999E-4</v>
      </c>
      <c r="I386" s="83">
        <v>0.111</v>
      </c>
      <c r="J386" s="28" t="s">
        <v>20</v>
      </c>
      <c r="K386" s="54">
        <f t="shared" si="43"/>
        <v>1.0499980295752209E-3</v>
      </c>
      <c r="L386" s="54">
        <f t="shared" si="36"/>
        <v>1.0499999999999999E-3</v>
      </c>
      <c r="M386" s="22">
        <f t="shared" si="44"/>
        <v>4.3310000000000008E-2</v>
      </c>
    </row>
    <row r="387" spans="1:13" x14ac:dyDescent="0.15">
      <c r="A387" s="1"/>
      <c r="B387" s="9"/>
      <c r="C387" s="9"/>
      <c r="D387" s="20" t="s">
        <v>28</v>
      </c>
      <c r="E387" s="21">
        <v>2.6230000000000002</v>
      </c>
      <c r="F387" s="9" t="s">
        <v>92</v>
      </c>
      <c r="G387" s="3">
        <f>5.007*E387^(0.33)/100</f>
        <v>6.8830516311152987E-2</v>
      </c>
      <c r="H387" s="4">
        <f>0.137*E387/100</f>
        <v>3.5935100000000003E-3</v>
      </c>
      <c r="I387" s="83">
        <v>0.25</v>
      </c>
      <c r="J387" s="28" t="s">
        <v>20</v>
      </c>
      <c r="K387" s="54">
        <f t="shared" si="43"/>
        <v>1.3699869585874062E-3</v>
      </c>
      <c r="L387" s="54">
        <f t="shared" si="36"/>
        <v>1.3699999999999999E-3</v>
      </c>
      <c r="M387" s="22">
        <f t="shared" si="44"/>
        <v>5.0069999999999996E-2</v>
      </c>
    </row>
    <row r="388" spans="1:13" x14ac:dyDescent="0.15">
      <c r="A388" s="1"/>
      <c r="B388" s="9"/>
      <c r="C388" s="9"/>
      <c r="D388" s="20" t="s">
        <v>41</v>
      </c>
      <c r="E388" s="21">
        <v>9.7070000000000004E-2</v>
      </c>
      <c r="F388" s="1" t="s">
        <v>88</v>
      </c>
      <c r="G388" s="40">
        <v>9.3989999999999994E-3</v>
      </c>
      <c r="H388" s="41">
        <v>4.9100000000000001E-5</v>
      </c>
      <c r="I388" s="82">
        <v>21</v>
      </c>
      <c r="J388" s="28" t="s">
        <v>43</v>
      </c>
      <c r="K388" s="1">
        <f t="shared" si="43"/>
        <v>4.7222415721657161E-4</v>
      </c>
      <c r="L388" s="1">
        <f t="shared" si="36"/>
        <v>5.05820541876996E-4</v>
      </c>
      <c r="M388" s="22">
        <f t="shared" si="44"/>
        <v>2.0292875449222723E-2</v>
      </c>
    </row>
    <row r="389" spans="1:13" x14ac:dyDescent="0.15">
      <c r="A389" s="1"/>
      <c r="B389" s="9"/>
      <c r="C389" s="9"/>
      <c r="D389" s="20" t="s">
        <v>41</v>
      </c>
      <c r="E389" s="21">
        <v>0.10265000000000001</v>
      </c>
      <c r="F389" s="1" t="s">
        <v>88</v>
      </c>
      <c r="G389" s="40">
        <v>8.5929999999999999E-3</v>
      </c>
      <c r="H389" s="41">
        <v>8.5400000000000002E-5</v>
      </c>
      <c r="I389" s="82">
        <v>22</v>
      </c>
      <c r="J389" s="28" t="s">
        <v>43</v>
      </c>
      <c r="K389" s="1">
        <f t="shared" si="43"/>
        <v>7.7137361110573449E-4</v>
      </c>
      <c r="L389" s="1">
        <f t="shared" ref="L389:L452" si="45">H389/E389</f>
        <v>8.3195323916220162E-4</v>
      </c>
      <c r="M389" s="22">
        <f t="shared" si="44"/>
        <v>1.8213623591655771E-2</v>
      </c>
    </row>
    <row r="390" spans="1:13" x14ac:dyDescent="0.15">
      <c r="A390" s="10"/>
      <c r="B390" s="9"/>
      <c r="C390" s="9"/>
      <c r="D390" s="18" t="s">
        <v>111</v>
      </c>
      <c r="E390" s="21">
        <v>0.89984193999999995</v>
      </c>
      <c r="F390" s="22" t="s">
        <v>114</v>
      </c>
      <c r="G390" s="23"/>
      <c r="H390" s="70">
        <v>1.3258861600000003E-3</v>
      </c>
      <c r="I390" s="90">
        <f>AVERAGE(I375:I389)</f>
        <v>9.1380888886666671</v>
      </c>
      <c r="J390" s="21" t="s">
        <v>206</v>
      </c>
      <c r="K390" s="72">
        <f t="shared" si="43"/>
        <v>1.4547650534317618E-3</v>
      </c>
      <c r="L390" s="72">
        <f t="shared" si="45"/>
        <v>1.4734656177506022E-3</v>
      </c>
    </row>
    <row r="391" spans="1:13" x14ac:dyDescent="0.15">
      <c r="A391" s="1"/>
      <c r="B391" s="9"/>
      <c r="C391" s="9"/>
      <c r="E391" s="1"/>
      <c r="F391" s="9"/>
      <c r="I391" s="85"/>
    </row>
    <row r="392" spans="1:13" x14ac:dyDescent="0.15">
      <c r="A392" s="1"/>
      <c r="B392" s="9"/>
      <c r="C392" s="9"/>
      <c r="I392" s="85"/>
    </row>
    <row r="393" spans="1:13" x14ac:dyDescent="0.15">
      <c r="A393" s="47" t="s">
        <v>76</v>
      </c>
      <c r="B393" s="48" t="s">
        <v>70</v>
      </c>
      <c r="C393" s="48" t="s">
        <v>69</v>
      </c>
      <c r="D393" s="20" t="s">
        <v>8</v>
      </c>
      <c r="E393" s="1">
        <v>17.100000000000001</v>
      </c>
      <c r="F393" s="1" t="s">
        <v>71</v>
      </c>
      <c r="G393" s="40">
        <v>0.1908181818181818</v>
      </c>
      <c r="H393" s="41">
        <v>0.31868999999999997</v>
      </c>
      <c r="I393" s="82">
        <v>0</v>
      </c>
      <c r="J393" s="1" t="s">
        <v>223</v>
      </c>
      <c r="K393" s="1">
        <f t="shared" ref="K393:K413" si="46">H393*COS(RADIANS(I393))/E393</f>
        <v>1.8636842105263157E-2</v>
      </c>
      <c r="L393" s="1">
        <f t="shared" si="45"/>
        <v>1.8636842105263157E-2</v>
      </c>
      <c r="M393" s="22">
        <f t="shared" ref="M393:M399" si="47">G393/(E393^0.33)</f>
        <v>7.4770629495212432E-2</v>
      </c>
    </row>
    <row r="394" spans="1:13" x14ac:dyDescent="0.15">
      <c r="D394" s="26" t="s">
        <v>11</v>
      </c>
      <c r="E394" s="42">
        <v>90</v>
      </c>
      <c r="F394" s="1" t="s">
        <v>71</v>
      </c>
      <c r="G394" s="3">
        <v>0.19443750000000001</v>
      </c>
      <c r="H394" s="4">
        <v>0.93400000000000005</v>
      </c>
      <c r="I394" s="83">
        <v>40.625</v>
      </c>
      <c r="J394" s="1" t="s">
        <v>223</v>
      </c>
      <c r="K394" s="1">
        <f t="shared" si="46"/>
        <v>7.8766013409427692E-3</v>
      </c>
      <c r="L394" s="1">
        <f t="shared" si="45"/>
        <v>1.0377777777777779E-2</v>
      </c>
      <c r="M394" s="22">
        <f t="shared" si="47"/>
        <v>4.4043315085781229E-2</v>
      </c>
    </row>
    <row r="395" spans="1:13" x14ac:dyDescent="0.15">
      <c r="D395" s="20" t="s">
        <v>12</v>
      </c>
      <c r="E395" s="1">
        <v>20.190000000000001</v>
      </c>
      <c r="F395" s="1" t="s">
        <v>71</v>
      </c>
      <c r="G395" s="3">
        <v>0.10428461538461539</v>
      </c>
      <c r="H395" s="4">
        <v>0.31630000000000003</v>
      </c>
      <c r="I395" s="84">
        <v>1.7692307692307692</v>
      </c>
      <c r="J395" s="1" t="s">
        <v>223</v>
      </c>
      <c r="K395" s="1">
        <f t="shared" si="46"/>
        <v>1.5658703066533299E-2</v>
      </c>
      <c r="L395" s="1">
        <f t="shared" si="45"/>
        <v>1.5666171371966322E-2</v>
      </c>
      <c r="M395" s="22">
        <f t="shared" si="47"/>
        <v>3.8683455221006871E-2</v>
      </c>
    </row>
    <row r="396" spans="1:13" x14ac:dyDescent="0.15">
      <c r="D396" s="20" t="s">
        <v>13</v>
      </c>
      <c r="E396" s="1">
        <v>27.7</v>
      </c>
      <c r="F396" s="1" t="s">
        <v>71</v>
      </c>
      <c r="G396" s="3">
        <v>0.16162499999999999</v>
      </c>
      <c r="H396" s="4">
        <v>0.32952999999999999</v>
      </c>
      <c r="I396" s="83">
        <v>35</v>
      </c>
      <c r="J396" s="1" t="s">
        <v>223</v>
      </c>
      <c r="K396" s="1">
        <f t="shared" si="46"/>
        <v>9.7449520994422906E-3</v>
      </c>
      <c r="L396" s="1">
        <f t="shared" si="45"/>
        <v>1.1896389891696751E-2</v>
      </c>
      <c r="M396" s="22">
        <f t="shared" si="47"/>
        <v>5.4011994417289662E-2</v>
      </c>
    </row>
    <row r="397" spans="1:13" x14ac:dyDescent="0.15">
      <c r="D397" s="26" t="s">
        <v>14</v>
      </c>
      <c r="E397" s="42">
        <v>278</v>
      </c>
      <c r="F397" s="1" t="s">
        <v>71</v>
      </c>
      <c r="G397" s="3">
        <v>0.24</v>
      </c>
      <c r="H397" s="4">
        <v>2.3479999999999999</v>
      </c>
      <c r="I397" s="83">
        <v>23</v>
      </c>
      <c r="J397" s="1" t="s">
        <v>223</v>
      </c>
      <c r="K397" s="1">
        <f t="shared" si="46"/>
        <v>7.7746237262817618E-3</v>
      </c>
      <c r="L397" s="1">
        <f t="shared" si="45"/>
        <v>8.446043165467626E-3</v>
      </c>
      <c r="M397" s="22">
        <f t="shared" si="47"/>
        <v>3.7469375868100729E-2</v>
      </c>
    </row>
    <row r="398" spans="1:13" x14ac:dyDescent="0.15">
      <c r="D398" s="26" t="s">
        <v>15</v>
      </c>
      <c r="E398" s="42">
        <v>7.7</v>
      </c>
      <c r="F398" s="1" t="s">
        <v>71</v>
      </c>
      <c r="G398" s="3">
        <v>3.6999999999999998E-2</v>
      </c>
      <c r="H398" s="4">
        <v>0.10360999999999999</v>
      </c>
      <c r="I398" s="83">
        <v>26.666666670000001</v>
      </c>
      <c r="J398" s="1" t="s">
        <v>223</v>
      </c>
      <c r="K398" s="1">
        <f t="shared" si="46"/>
        <v>1.2024581540416034E-2</v>
      </c>
      <c r="L398" s="1">
        <f t="shared" si="45"/>
        <v>1.3455844155844155E-2</v>
      </c>
      <c r="M398" s="22">
        <f t="shared" si="47"/>
        <v>1.8865129238978741E-2</v>
      </c>
    </row>
    <row r="399" spans="1:13" x14ac:dyDescent="0.15">
      <c r="D399" s="20" t="s">
        <v>14</v>
      </c>
      <c r="E399" s="1">
        <v>3.7</v>
      </c>
      <c r="F399" s="1" t="s">
        <v>71</v>
      </c>
      <c r="G399" s="40">
        <v>0.15529999999999999</v>
      </c>
      <c r="H399" s="41">
        <v>6.1684799999999998E-2</v>
      </c>
      <c r="I399" s="82">
        <v>0</v>
      </c>
      <c r="J399" s="1" t="s">
        <v>222</v>
      </c>
      <c r="K399" s="1">
        <f t="shared" si="46"/>
        <v>1.6671567567567568E-2</v>
      </c>
      <c r="L399" s="1">
        <f t="shared" si="45"/>
        <v>1.6671567567567568E-2</v>
      </c>
      <c r="M399" s="22">
        <f t="shared" si="47"/>
        <v>0.10084744199940716</v>
      </c>
    </row>
    <row r="400" spans="1:13" x14ac:dyDescent="0.15">
      <c r="D400" s="20" t="s">
        <v>18</v>
      </c>
      <c r="E400" s="21">
        <v>8.9999999999999993E-3</v>
      </c>
      <c r="F400" s="22" t="s">
        <v>75</v>
      </c>
      <c r="G400" s="40" t="s">
        <v>35</v>
      </c>
      <c r="H400" s="41">
        <f>1.001*E400/100</f>
        <v>9.0089999999999973E-5</v>
      </c>
      <c r="I400" s="82">
        <v>0</v>
      </c>
      <c r="J400" s="28" t="s">
        <v>20</v>
      </c>
      <c r="K400" s="1">
        <f t="shared" si="46"/>
        <v>1.0009999999999998E-2</v>
      </c>
      <c r="L400" s="1">
        <f t="shared" si="45"/>
        <v>1.0009999999999998E-2</v>
      </c>
      <c r="M400" s="108">
        <v>0</v>
      </c>
    </row>
    <row r="401" spans="1:13" x14ac:dyDescent="0.15">
      <c r="D401" s="20" t="s">
        <v>21</v>
      </c>
      <c r="E401" s="21">
        <v>1.2999999999999999E-2</v>
      </c>
      <c r="F401" s="22" t="s">
        <v>75</v>
      </c>
      <c r="G401" s="40" t="s">
        <v>35</v>
      </c>
      <c r="H401" s="41">
        <f>0.828*E401/100</f>
        <v>1.0763999999999999E-4</v>
      </c>
      <c r="I401" s="82">
        <v>0</v>
      </c>
      <c r="J401" s="28" t="s">
        <v>20</v>
      </c>
      <c r="K401" s="1">
        <f t="shared" si="46"/>
        <v>8.2799999999999992E-3</v>
      </c>
      <c r="L401" s="1">
        <f t="shared" si="45"/>
        <v>8.2799999999999992E-3</v>
      </c>
      <c r="M401" s="108">
        <v>0</v>
      </c>
    </row>
    <row r="402" spans="1:13" x14ac:dyDescent="0.15">
      <c r="D402" s="20" t="s">
        <v>22</v>
      </c>
      <c r="E402" s="21">
        <v>1.6E-2</v>
      </c>
      <c r="F402" s="22" t="s">
        <v>75</v>
      </c>
      <c r="G402" s="40" t="s">
        <v>35</v>
      </c>
      <c r="H402" s="41">
        <f>0.946*E402/100</f>
        <v>1.5136000000000001E-4</v>
      </c>
      <c r="I402" s="82">
        <v>0</v>
      </c>
      <c r="J402" s="28" t="s">
        <v>20</v>
      </c>
      <c r="K402" s="1">
        <f t="shared" si="46"/>
        <v>9.4600000000000014E-3</v>
      </c>
      <c r="L402" s="1">
        <f t="shared" si="45"/>
        <v>9.4600000000000014E-3</v>
      </c>
      <c r="M402" s="108">
        <v>0</v>
      </c>
    </row>
    <row r="403" spans="1:13" x14ac:dyDescent="0.15">
      <c r="D403" s="20" t="s">
        <v>23</v>
      </c>
      <c r="E403" s="21">
        <v>0.443</v>
      </c>
      <c r="F403" s="22" t="s">
        <v>75</v>
      </c>
      <c r="G403" s="3">
        <f>6.012*E403^(0.33)/100</f>
        <v>4.5954939804756331E-2</v>
      </c>
      <c r="H403" s="41">
        <f>2.169*E403/100</f>
        <v>9.6086699999999997E-3</v>
      </c>
      <c r="I403" s="82">
        <v>20.446000000000002</v>
      </c>
      <c r="J403" s="28" t="s">
        <v>20</v>
      </c>
      <c r="K403" s="1">
        <f t="shared" si="46"/>
        <v>2.0323569820110219E-2</v>
      </c>
      <c r="L403" s="1">
        <f t="shared" si="45"/>
        <v>2.1689999999999997E-2</v>
      </c>
      <c r="M403" s="22">
        <f t="shared" ref="M403:M412" si="48">G403/(E403^0.33)</f>
        <v>6.0119999999999986E-2</v>
      </c>
    </row>
    <row r="404" spans="1:13" x14ac:dyDescent="0.15">
      <c r="D404" s="20" t="s">
        <v>24</v>
      </c>
      <c r="E404" s="21">
        <v>36.667000000000002</v>
      </c>
      <c r="F404" s="22" t="s">
        <v>75</v>
      </c>
      <c r="G404" s="3">
        <f>3.186*E404^(0.33)/100</f>
        <v>0.10458192859422261</v>
      </c>
      <c r="H404" s="41">
        <f>1.157*E404/100</f>
        <v>0.42423719000000004</v>
      </c>
      <c r="I404" s="82">
        <v>24.556000000000001</v>
      </c>
      <c r="J404" s="28" t="s">
        <v>20</v>
      </c>
      <c r="K404" s="1">
        <f t="shared" si="46"/>
        <v>1.0523557385013552E-2</v>
      </c>
      <c r="L404" s="1">
        <f t="shared" si="45"/>
        <v>1.157E-2</v>
      </c>
      <c r="M404" s="22">
        <f t="shared" si="48"/>
        <v>3.1859999999999999E-2</v>
      </c>
    </row>
    <row r="405" spans="1:13" x14ac:dyDescent="0.15">
      <c r="D405" s="20" t="s">
        <v>25</v>
      </c>
      <c r="E405" s="21">
        <v>1.381</v>
      </c>
      <c r="F405" s="22" t="s">
        <v>75</v>
      </c>
      <c r="G405" s="3">
        <f>4.473*E405^(0.33)/100</f>
        <v>4.9757988123194548E-2</v>
      </c>
      <c r="H405" s="41">
        <f>1.718*E405/100</f>
        <v>2.3725580000000003E-2</v>
      </c>
      <c r="I405" s="82">
        <v>20.888999999999999</v>
      </c>
      <c r="J405" s="28" t="s">
        <v>20</v>
      </c>
      <c r="K405" s="1">
        <f t="shared" si="46"/>
        <v>1.605080921027046E-2</v>
      </c>
      <c r="L405" s="1">
        <f t="shared" si="45"/>
        <v>1.7180000000000001E-2</v>
      </c>
      <c r="M405" s="22">
        <f t="shared" si="48"/>
        <v>4.4730000000000006E-2</v>
      </c>
    </row>
    <row r="406" spans="1:13" x14ac:dyDescent="0.15">
      <c r="D406" s="20" t="s">
        <v>73</v>
      </c>
      <c r="E406" s="21">
        <v>0.158</v>
      </c>
      <c r="F406" s="22" t="s">
        <v>75</v>
      </c>
      <c r="G406" s="3">
        <f>5.439*E406^(0.33)/100</f>
        <v>2.9585294553897964E-2</v>
      </c>
      <c r="H406" s="41">
        <f>1.198*E406/100</f>
        <v>1.89284E-3</v>
      </c>
      <c r="I406" s="82">
        <v>22.332999999999998</v>
      </c>
      <c r="J406" s="28" t="s">
        <v>20</v>
      </c>
      <c r="K406" s="1">
        <f t="shared" si="46"/>
        <v>1.1081392346284063E-2</v>
      </c>
      <c r="L406" s="1">
        <f t="shared" si="45"/>
        <v>1.1979999999999999E-2</v>
      </c>
      <c r="M406" s="22">
        <f t="shared" si="48"/>
        <v>5.4389999999999994E-2</v>
      </c>
    </row>
    <row r="407" spans="1:13" x14ac:dyDescent="0.15">
      <c r="D407" s="20" t="s">
        <v>27</v>
      </c>
      <c r="E407" s="21">
        <v>0.158</v>
      </c>
      <c r="F407" s="22" t="s">
        <v>75</v>
      </c>
      <c r="G407" s="3">
        <f>5.19*E407^(0.33)/100</f>
        <v>2.8230865735379747E-2</v>
      </c>
      <c r="H407" s="41">
        <f>2.93*E407/100</f>
        <v>4.6294000000000005E-3</v>
      </c>
      <c r="I407" s="82">
        <v>21.777999999999999</v>
      </c>
      <c r="J407" s="28" t="s">
        <v>20</v>
      </c>
      <c r="K407" s="1">
        <f t="shared" si="46"/>
        <v>2.7208810755911979E-2</v>
      </c>
      <c r="L407" s="1">
        <f t="shared" si="45"/>
        <v>2.9300000000000003E-2</v>
      </c>
      <c r="M407" s="22">
        <f t="shared" si="48"/>
        <v>5.1900000000000002E-2</v>
      </c>
    </row>
    <row r="408" spans="1:13" x14ac:dyDescent="0.15">
      <c r="D408" s="20" t="s">
        <v>28</v>
      </c>
      <c r="E408" s="21">
        <v>2.6230000000000002</v>
      </c>
      <c r="F408" s="22" t="s">
        <v>75</v>
      </c>
      <c r="G408" s="3">
        <f>3.713*E408^(0.33)/100</f>
        <v>5.1042082497166179E-2</v>
      </c>
      <c r="H408" s="41">
        <f>1.177*E408/100</f>
        <v>3.0872710000000005E-2</v>
      </c>
      <c r="I408" s="82">
        <v>21.832999999999998</v>
      </c>
      <c r="J408" s="28" t="s">
        <v>20</v>
      </c>
      <c r="K408" s="1">
        <f t="shared" si="46"/>
        <v>1.0925758854976188E-2</v>
      </c>
      <c r="L408" s="1">
        <f t="shared" si="45"/>
        <v>1.1770000000000001E-2</v>
      </c>
      <c r="M408" s="22">
        <f t="shared" si="48"/>
        <v>3.7129999999999996E-2</v>
      </c>
    </row>
    <row r="409" spans="1:13" x14ac:dyDescent="0.15">
      <c r="D409" s="20" t="s">
        <v>41</v>
      </c>
      <c r="E409" s="21">
        <v>9.7070000000000004E-2</v>
      </c>
      <c r="F409" s="1" t="s">
        <v>71</v>
      </c>
      <c r="G409" s="40">
        <v>8.9809999999999994E-3</v>
      </c>
      <c r="H409" s="41">
        <v>5.2340000000000004E-4</v>
      </c>
      <c r="I409" s="82">
        <v>0</v>
      </c>
      <c r="J409" s="28" t="s">
        <v>43</v>
      </c>
      <c r="K409" s="1">
        <f t="shared" si="46"/>
        <v>5.3919851653445967E-3</v>
      </c>
      <c r="L409" s="1">
        <f t="shared" si="45"/>
        <v>5.3919851653445967E-3</v>
      </c>
      <c r="M409" s="22">
        <f t="shared" si="48"/>
        <v>1.9390394128042266E-2</v>
      </c>
    </row>
    <row r="410" spans="1:13" x14ac:dyDescent="0.15">
      <c r="D410" s="20" t="s">
        <v>41</v>
      </c>
      <c r="E410" s="21">
        <v>0.10265000000000001</v>
      </c>
      <c r="F410" s="1" t="s">
        <v>71</v>
      </c>
      <c r="G410" s="40">
        <v>9.9839999999999998E-3</v>
      </c>
      <c r="H410" s="41">
        <v>6.4709999999999995E-4</v>
      </c>
      <c r="I410" s="82">
        <v>0</v>
      </c>
      <c r="J410" s="28" t="s">
        <v>43</v>
      </c>
      <c r="K410" s="1">
        <f t="shared" si="46"/>
        <v>6.3039454456892347E-3</v>
      </c>
      <c r="L410" s="1">
        <f t="shared" si="45"/>
        <v>6.3039454456892347E-3</v>
      </c>
      <c r="M410" s="22">
        <f t="shared" si="48"/>
        <v>2.1161971132211244E-2</v>
      </c>
    </row>
    <row r="411" spans="1:13" x14ac:dyDescent="0.15">
      <c r="D411" s="20" t="s">
        <v>42</v>
      </c>
      <c r="E411" s="21">
        <v>5.7000000000000002E-2</v>
      </c>
      <c r="F411" s="1" t="s">
        <v>71</v>
      </c>
      <c r="G411" s="40">
        <v>6.8380000000000003E-3</v>
      </c>
      <c r="H411" s="41">
        <v>9.9699999999999998E-5</v>
      </c>
      <c r="I411" s="82">
        <v>0</v>
      </c>
      <c r="J411" s="28" t="s">
        <v>43</v>
      </c>
      <c r="K411" s="1">
        <f t="shared" si="46"/>
        <v>1.7491228070175438E-3</v>
      </c>
      <c r="L411" s="1">
        <f t="shared" si="45"/>
        <v>1.7491228070175438E-3</v>
      </c>
      <c r="M411" s="22">
        <f t="shared" si="48"/>
        <v>1.7599097369336923E-2</v>
      </c>
    </row>
    <row r="412" spans="1:13" x14ac:dyDescent="0.15">
      <c r="D412" s="20" t="s">
        <v>42</v>
      </c>
      <c r="E412" s="21">
        <v>5.1700000000000003E-2</v>
      </c>
      <c r="F412" s="1" t="s">
        <v>71</v>
      </c>
      <c r="G412" s="40">
        <v>8.0800000000000004E-3</v>
      </c>
      <c r="H412" s="41">
        <v>8.9900000000000003E-5</v>
      </c>
      <c r="I412" s="82">
        <v>0</v>
      </c>
      <c r="J412" s="28" t="s">
        <v>43</v>
      </c>
      <c r="K412" s="1">
        <f t="shared" si="46"/>
        <v>1.7388781431334622E-3</v>
      </c>
      <c r="L412" s="1">
        <f t="shared" si="45"/>
        <v>1.7388781431334622E-3</v>
      </c>
      <c r="M412" s="22">
        <f t="shared" si="48"/>
        <v>2.1476300969715978E-2</v>
      </c>
    </row>
    <row r="413" spans="1:13" x14ac:dyDescent="0.15">
      <c r="A413" s="10"/>
      <c r="D413" s="18" t="s">
        <v>111</v>
      </c>
      <c r="E413" s="21">
        <v>0.89984193999999995</v>
      </c>
      <c r="F413" s="22" t="s">
        <v>71</v>
      </c>
      <c r="G413" s="23"/>
      <c r="H413" s="73">
        <v>2.3392322655200002E-2</v>
      </c>
      <c r="I413" s="90">
        <f>AVERAGE(I393:I412)</f>
        <v>12.944794871961539</v>
      </c>
      <c r="J413" s="21" t="s">
        <v>206</v>
      </c>
      <c r="K413" s="32">
        <f t="shared" si="46"/>
        <v>2.5335381099855555E-2</v>
      </c>
      <c r="L413" s="32">
        <f t="shared" si="45"/>
        <v>2.5996035098341832E-2</v>
      </c>
    </row>
    <row r="414" spans="1:13" x14ac:dyDescent="0.15">
      <c r="I414" s="85"/>
    </row>
    <row r="415" spans="1:13" x14ac:dyDescent="0.15">
      <c r="I415" s="85"/>
    </row>
    <row r="416" spans="1:13" x14ac:dyDescent="0.15">
      <c r="A416" s="47" t="s">
        <v>77</v>
      </c>
      <c r="B416" s="48" t="s">
        <v>70</v>
      </c>
      <c r="C416" s="48" t="s">
        <v>69</v>
      </c>
      <c r="D416" s="20" t="s">
        <v>8</v>
      </c>
      <c r="E416" s="1">
        <v>17.100000000000001</v>
      </c>
      <c r="F416" s="9" t="s">
        <v>72</v>
      </c>
      <c r="G416" s="40">
        <v>6.4250000000000002E-2</v>
      </c>
      <c r="H416" s="41">
        <v>2.231E-2</v>
      </c>
      <c r="I416" s="82">
        <v>0</v>
      </c>
      <c r="J416" s="1" t="s">
        <v>223</v>
      </c>
      <c r="K416" s="9">
        <f t="shared" ref="K416:K431" si="49">H416*COS(RADIANS(I416))/E416</f>
        <v>1.3046783625730992E-3</v>
      </c>
      <c r="L416" s="9">
        <f t="shared" si="45"/>
        <v>1.3046783625730992E-3</v>
      </c>
      <c r="M416" s="22">
        <f t="shared" ref="M416:M430" si="50">G416/(E416^0.33)</f>
        <v>2.5175865838847733E-2</v>
      </c>
    </row>
    <row r="417" spans="1:13" x14ac:dyDescent="0.15">
      <c r="D417" s="26" t="s">
        <v>11</v>
      </c>
      <c r="E417" s="42">
        <v>90</v>
      </c>
      <c r="F417" s="9" t="s">
        <v>72</v>
      </c>
      <c r="G417" s="3">
        <v>8.9833333333333334E-2</v>
      </c>
      <c r="H417" s="4">
        <v>7.8799999999999995E-2</v>
      </c>
      <c r="I417" s="83">
        <v>14.166666666666666</v>
      </c>
      <c r="J417" s="1" t="s">
        <v>223</v>
      </c>
      <c r="K417" s="9">
        <f t="shared" si="49"/>
        <v>8.4892807233772813E-4</v>
      </c>
      <c r="L417" s="9">
        <f t="shared" si="45"/>
        <v>8.7555555555555553E-4</v>
      </c>
      <c r="M417" s="22">
        <f t="shared" si="50"/>
        <v>2.0348738310284865E-2</v>
      </c>
    </row>
    <row r="418" spans="1:13" x14ac:dyDescent="0.15">
      <c r="D418" s="20" t="s">
        <v>12</v>
      </c>
      <c r="E418" s="1">
        <v>20.190000000000001</v>
      </c>
      <c r="F418" s="9" t="s">
        <v>72</v>
      </c>
      <c r="G418" s="3">
        <v>1.2800000000000001E-2</v>
      </c>
      <c r="H418" s="4">
        <v>2.3800000000000002E-2</v>
      </c>
      <c r="I418" s="84">
        <v>16</v>
      </c>
      <c r="J418" s="1" t="s">
        <v>223</v>
      </c>
      <c r="K418" s="9">
        <f t="shared" si="49"/>
        <v>1.1331366202739965E-3</v>
      </c>
      <c r="L418" s="9">
        <f t="shared" si="45"/>
        <v>1.178801386825161E-3</v>
      </c>
      <c r="M418" s="22">
        <f t="shared" si="50"/>
        <v>4.7480467277240855E-3</v>
      </c>
    </row>
    <row r="419" spans="1:13" x14ac:dyDescent="0.15">
      <c r="D419" s="20" t="s">
        <v>13</v>
      </c>
      <c r="E419" s="1">
        <v>27.7</v>
      </c>
      <c r="F419" s="9" t="s">
        <v>72</v>
      </c>
      <c r="G419" s="3">
        <v>0.01</v>
      </c>
      <c r="H419" s="4">
        <v>2.5940000000000001E-2</v>
      </c>
      <c r="I419" s="83">
        <v>0</v>
      </c>
      <c r="J419" s="1" t="s">
        <v>223</v>
      </c>
      <c r="K419" s="9">
        <f t="shared" si="49"/>
        <v>9.3646209386281595E-4</v>
      </c>
      <c r="L419" s="9">
        <f t="shared" si="45"/>
        <v>9.3646209386281595E-4</v>
      </c>
      <c r="M419" s="22">
        <f t="shared" si="50"/>
        <v>3.3418093993682701E-3</v>
      </c>
    </row>
    <row r="420" spans="1:13" x14ac:dyDescent="0.15">
      <c r="D420" s="26" t="s">
        <v>14</v>
      </c>
      <c r="E420" s="42">
        <v>278</v>
      </c>
      <c r="F420" s="9" t="s">
        <v>72</v>
      </c>
      <c r="G420" s="3">
        <v>5.2999999999999999E-2</v>
      </c>
      <c r="H420" s="4">
        <v>6.6600000000000006E-2</v>
      </c>
      <c r="I420" s="83">
        <v>25</v>
      </c>
      <c r="J420" s="1" t="s">
        <v>223</v>
      </c>
      <c r="K420" s="9">
        <f t="shared" si="49"/>
        <v>2.171226568943917E-4</v>
      </c>
      <c r="L420" s="9">
        <f t="shared" si="45"/>
        <v>2.3956834532374102E-4</v>
      </c>
      <c r="M420" s="22">
        <f t="shared" si="50"/>
        <v>8.2744871708722439E-3</v>
      </c>
    </row>
    <row r="421" spans="1:13" x14ac:dyDescent="0.15">
      <c r="D421" s="26" t="s">
        <v>15</v>
      </c>
      <c r="E421" s="42">
        <v>7.7</v>
      </c>
      <c r="F421" s="9" t="s">
        <v>72</v>
      </c>
      <c r="G421" s="3">
        <v>6.4199999999999993E-2</v>
      </c>
      <c r="H421" s="4">
        <v>1.1905000000000001E-2</v>
      </c>
      <c r="I421" s="83">
        <v>0</v>
      </c>
      <c r="J421" s="1" t="s">
        <v>223</v>
      </c>
      <c r="K421" s="9">
        <f t="shared" si="49"/>
        <v>1.5461038961038962E-3</v>
      </c>
      <c r="L421" s="9">
        <f t="shared" si="45"/>
        <v>1.5461038961038962E-3</v>
      </c>
      <c r="M421" s="22">
        <f t="shared" si="50"/>
        <v>3.2733548571417165E-2</v>
      </c>
    </row>
    <row r="422" spans="1:13" x14ac:dyDescent="0.15">
      <c r="D422" s="20" t="s">
        <v>14</v>
      </c>
      <c r="E422" s="1">
        <v>3.7</v>
      </c>
      <c r="F422" s="9" t="s">
        <v>72</v>
      </c>
      <c r="G422" s="40">
        <v>4.6249999999999999E-2</v>
      </c>
      <c r="H422" s="41">
        <v>3.9877000000000003E-3</v>
      </c>
      <c r="I422" s="82">
        <v>0</v>
      </c>
      <c r="J422" s="1" t="s">
        <v>222</v>
      </c>
      <c r="K422" s="9">
        <f t="shared" si="49"/>
        <v>1.0777567567567567E-3</v>
      </c>
      <c r="L422" s="9">
        <f t="shared" si="45"/>
        <v>1.0777567567567567E-3</v>
      </c>
      <c r="M422" s="22">
        <f t="shared" si="50"/>
        <v>3.0033446184627055E-2</v>
      </c>
    </row>
    <row r="423" spans="1:13" x14ac:dyDescent="0.15">
      <c r="D423" s="20" t="s">
        <v>24</v>
      </c>
      <c r="E423" s="21">
        <v>40</v>
      </c>
      <c r="F423" s="22" t="s">
        <v>74</v>
      </c>
      <c r="G423" s="3">
        <f>2.881*E423^(0.33)/100</f>
        <v>9.7324695904377895E-2</v>
      </c>
      <c r="H423" s="41">
        <f>0.181*E423/100</f>
        <v>7.2400000000000006E-2</v>
      </c>
      <c r="I423" s="82">
        <v>0</v>
      </c>
      <c r="J423" s="28" t="s">
        <v>20</v>
      </c>
      <c r="K423" s="9">
        <f t="shared" si="49"/>
        <v>1.8100000000000002E-3</v>
      </c>
      <c r="L423" s="9">
        <f t="shared" si="45"/>
        <v>1.8100000000000002E-3</v>
      </c>
      <c r="M423" s="22">
        <f t="shared" si="50"/>
        <v>2.8809999999999999E-2</v>
      </c>
    </row>
    <row r="424" spans="1:13" x14ac:dyDescent="0.15">
      <c r="D424" s="20" t="s">
        <v>25</v>
      </c>
      <c r="E424" s="21">
        <v>2.4369999999999998</v>
      </c>
      <c r="F424" s="22" t="s">
        <v>74</v>
      </c>
      <c r="G424" s="3">
        <f>2.221*E424^(0.33)/100</f>
        <v>2.9799630781097576E-2</v>
      </c>
      <c r="H424" s="41">
        <f>0.247*E424/100</f>
        <v>6.0193900000000003E-3</v>
      </c>
      <c r="I424" s="82">
        <v>0</v>
      </c>
      <c r="J424" s="28" t="s">
        <v>20</v>
      </c>
      <c r="K424" s="9">
        <f t="shared" si="49"/>
        <v>2.4700000000000004E-3</v>
      </c>
      <c r="L424" s="9">
        <f t="shared" si="45"/>
        <v>2.4700000000000004E-3</v>
      </c>
      <c r="M424" s="22">
        <f t="shared" si="50"/>
        <v>2.2210000000000001E-2</v>
      </c>
    </row>
    <row r="425" spans="1:13" x14ac:dyDescent="0.15">
      <c r="D425" s="20" t="s">
        <v>27</v>
      </c>
      <c r="E425" s="21">
        <v>0.28499999999999998</v>
      </c>
      <c r="F425" s="22" t="s">
        <v>74</v>
      </c>
      <c r="G425" s="3">
        <f>2.08*E425^(0.33)/100</f>
        <v>1.374555053283839E-2</v>
      </c>
      <c r="H425" s="41">
        <f>0.147*E425/100</f>
        <v>4.1894999999999996E-4</v>
      </c>
      <c r="I425" s="82">
        <v>0</v>
      </c>
      <c r="J425" s="28" t="s">
        <v>20</v>
      </c>
      <c r="K425" s="9">
        <f t="shared" si="49"/>
        <v>1.47E-3</v>
      </c>
      <c r="L425" s="9">
        <f t="shared" si="45"/>
        <v>1.47E-3</v>
      </c>
      <c r="M425" s="22">
        <f t="shared" si="50"/>
        <v>2.0799999999999999E-2</v>
      </c>
    </row>
    <row r="426" spans="1:13" x14ac:dyDescent="0.15">
      <c r="D426" s="20" t="s">
        <v>28</v>
      </c>
      <c r="E426" s="21">
        <v>4.82</v>
      </c>
      <c r="F426" s="22" t="s">
        <v>74</v>
      </c>
      <c r="G426" s="3">
        <f>2.464*E426^(0.33)/100</f>
        <v>4.1404374310597528E-2</v>
      </c>
      <c r="H426" s="41">
        <f>0.385*E426/100</f>
        <v>1.8557000000000001E-2</v>
      </c>
      <c r="I426" s="82">
        <v>0</v>
      </c>
      <c r="J426" s="28" t="s">
        <v>20</v>
      </c>
      <c r="K426" s="9">
        <f t="shared" si="49"/>
        <v>3.8499999999999997E-3</v>
      </c>
      <c r="L426" s="9">
        <f t="shared" si="45"/>
        <v>3.8499999999999997E-3</v>
      </c>
      <c r="M426" s="22">
        <f t="shared" si="50"/>
        <v>2.4640000000000002E-2</v>
      </c>
    </row>
    <row r="427" spans="1:13" x14ac:dyDescent="0.15">
      <c r="D427" s="20" t="s">
        <v>41</v>
      </c>
      <c r="E427" s="21">
        <v>9.7070000000000004E-2</v>
      </c>
      <c r="F427" s="1" t="s">
        <v>72</v>
      </c>
      <c r="G427" s="40">
        <v>4.9820000000000003E-3</v>
      </c>
      <c r="H427" s="41">
        <v>1.1849999999999999E-4</v>
      </c>
      <c r="I427" s="82">
        <v>0</v>
      </c>
      <c r="J427" s="28" t="s">
        <v>43</v>
      </c>
      <c r="K427" s="9">
        <f t="shared" si="49"/>
        <v>1.220768517564644E-3</v>
      </c>
      <c r="L427" s="9">
        <f t="shared" si="45"/>
        <v>1.220768517564644E-3</v>
      </c>
      <c r="M427" s="22">
        <f t="shared" si="50"/>
        <v>1.0756368282586191E-2</v>
      </c>
    </row>
    <row r="428" spans="1:13" x14ac:dyDescent="0.15">
      <c r="D428" s="20" t="s">
        <v>41</v>
      </c>
      <c r="E428" s="21">
        <v>0.10265000000000001</v>
      </c>
      <c r="F428" s="1" t="s">
        <v>72</v>
      </c>
      <c r="G428" s="40">
        <v>6.594E-3</v>
      </c>
      <c r="H428" s="41">
        <v>1.405E-4</v>
      </c>
      <c r="I428" s="82">
        <v>0</v>
      </c>
      <c r="J428" s="28" t="s">
        <v>43</v>
      </c>
      <c r="K428" s="9">
        <f t="shared" si="49"/>
        <v>1.3687286897223574E-3</v>
      </c>
      <c r="L428" s="9">
        <f t="shared" si="45"/>
        <v>1.3687286897223574E-3</v>
      </c>
      <c r="M428" s="22">
        <f t="shared" si="50"/>
        <v>1.3976566270613075E-2</v>
      </c>
    </row>
    <row r="429" spans="1:13" x14ac:dyDescent="0.15">
      <c r="D429" s="20" t="s">
        <v>42</v>
      </c>
      <c r="E429" s="21">
        <v>5.7000000000000002E-2</v>
      </c>
      <c r="F429" s="1" t="s">
        <v>72</v>
      </c>
      <c r="G429" s="40">
        <v>3.9150000000000001E-3</v>
      </c>
      <c r="H429" s="41">
        <v>1.8899999999999999E-5</v>
      </c>
      <c r="I429" s="82">
        <v>0</v>
      </c>
      <c r="J429" s="28" t="s">
        <v>43</v>
      </c>
      <c r="K429" s="9">
        <f t="shared" si="49"/>
        <v>3.3157894736842103E-4</v>
      </c>
      <c r="L429" s="9">
        <f t="shared" si="45"/>
        <v>3.3157894736842103E-4</v>
      </c>
      <c r="M429" s="22">
        <f t="shared" si="50"/>
        <v>1.0076113805345722E-2</v>
      </c>
    </row>
    <row r="430" spans="1:13" x14ac:dyDescent="0.15">
      <c r="D430" s="20" t="s">
        <v>42</v>
      </c>
      <c r="E430" s="21">
        <v>5.1700000000000003E-2</v>
      </c>
      <c r="F430" s="1" t="s">
        <v>72</v>
      </c>
      <c r="G430" s="40">
        <v>4.5710000000000004E-3</v>
      </c>
      <c r="H430" s="41">
        <v>1.63E-5</v>
      </c>
      <c r="I430" s="82">
        <v>0</v>
      </c>
      <c r="J430" s="28" t="s">
        <v>43</v>
      </c>
      <c r="K430" s="9">
        <f t="shared" si="49"/>
        <v>3.152804642166344E-4</v>
      </c>
      <c r="L430" s="9">
        <f t="shared" si="45"/>
        <v>3.152804642166344E-4</v>
      </c>
      <c r="M430" s="22">
        <f t="shared" si="50"/>
        <v>1.2149526204526204E-2</v>
      </c>
    </row>
    <row r="431" spans="1:13" x14ac:dyDescent="0.15">
      <c r="A431" s="10"/>
      <c r="D431" s="18" t="s">
        <v>111</v>
      </c>
      <c r="E431" s="21">
        <v>0.89984193999999995</v>
      </c>
      <c r="F431" s="22" t="s">
        <v>72</v>
      </c>
      <c r="G431" s="23"/>
      <c r="H431" s="100">
        <f>I431/100/100/100*1060</f>
        <v>3.8984444444444444E-3</v>
      </c>
      <c r="I431" s="90">
        <f>AVERAGE(I416:I430)</f>
        <v>3.6777777777777776</v>
      </c>
      <c r="J431" s="21" t="s">
        <v>206</v>
      </c>
      <c r="K431" s="72">
        <f t="shared" si="49"/>
        <v>4.3234436031169485E-3</v>
      </c>
      <c r="L431" s="72">
        <f t="shared" si="45"/>
        <v>4.3323657979805258E-3</v>
      </c>
    </row>
    <row r="432" spans="1:13" x14ac:dyDescent="0.15">
      <c r="I432" s="85"/>
    </row>
    <row r="433" spans="1:17" x14ac:dyDescent="0.15">
      <c r="I433" s="85"/>
    </row>
    <row r="434" spans="1:17" x14ac:dyDescent="0.15">
      <c r="A434" s="47" t="s">
        <v>97</v>
      </c>
      <c r="B434" s="48" t="s">
        <v>102</v>
      </c>
      <c r="C434" s="48" t="s">
        <v>101</v>
      </c>
      <c r="D434" s="20" t="s">
        <v>8</v>
      </c>
      <c r="E434" s="1">
        <v>17.100000000000001</v>
      </c>
      <c r="F434" s="36" t="s">
        <v>98</v>
      </c>
      <c r="G434" s="40">
        <v>2.2571428571428572E-2</v>
      </c>
      <c r="H434" s="41">
        <v>2.6380000000000001E-2</v>
      </c>
      <c r="I434" s="82">
        <v>27.5</v>
      </c>
      <c r="J434" s="1" t="s">
        <v>223</v>
      </c>
      <c r="K434" s="36">
        <f t="shared" ref="K434:K449" si="51">H434*COS(RADIANS(I434))/E434</f>
        <v>1.3683827941076893E-3</v>
      </c>
      <c r="L434" s="36">
        <f t="shared" si="45"/>
        <v>1.542690058479532E-3</v>
      </c>
      <c r="M434" s="36">
        <f t="shared" ref="M434:M454" si="52">G434/(E434^0.33)</f>
        <v>8.844439805531833E-3</v>
      </c>
      <c r="O434" s="9"/>
      <c r="P434" s="9"/>
    </row>
    <row r="435" spans="1:17" x14ac:dyDescent="0.15">
      <c r="A435" s="10"/>
      <c r="B435" s="10"/>
      <c r="C435" s="10"/>
      <c r="D435" s="20" t="s">
        <v>8</v>
      </c>
      <c r="E435" s="1">
        <v>17.100000000000001</v>
      </c>
      <c r="F435" s="37" t="s">
        <v>99</v>
      </c>
      <c r="G435" s="40">
        <v>6.6400000000000001E-2</v>
      </c>
      <c r="H435" s="41">
        <v>1.227E-2</v>
      </c>
      <c r="I435" s="82">
        <v>17</v>
      </c>
      <c r="J435" s="1" t="s">
        <v>223</v>
      </c>
      <c r="K435" s="37">
        <f t="shared" si="51"/>
        <v>6.8619060559452888E-4</v>
      </c>
      <c r="L435" s="37">
        <f t="shared" si="45"/>
        <v>7.1754385964912268E-4</v>
      </c>
      <c r="M435" s="37">
        <f t="shared" si="52"/>
        <v>2.60183267190582E-2</v>
      </c>
      <c r="O435" s="9"/>
      <c r="P435" s="9"/>
    </row>
    <row r="436" spans="1:17" x14ac:dyDescent="0.15">
      <c r="A436" s="10"/>
      <c r="B436" s="10"/>
      <c r="C436" s="10"/>
      <c r="D436" s="20" t="s">
        <v>8</v>
      </c>
      <c r="E436" s="1">
        <v>17.100000000000001</v>
      </c>
      <c r="F436" s="1" t="s">
        <v>100</v>
      </c>
      <c r="G436" s="3">
        <f>AVERAGE(G434:G435)</f>
        <v>4.4485714285714288E-2</v>
      </c>
      <c r="H436" s="4">
        <f>SUM(H434:H435)</f>
        <v>3.8650000000000004E-2</v>
      </c>
      <c r="I436" s="83">
        <f>AVERAGE(I434:I435)</f>
        <v>22.25</v>
      </c>
      <c r="J436" s="1" t="s">
        <v>223</v>
      </c>
      <c r="K436" s="22">
        <f t="shared" si="51"/>
        <v>2.0919380397823942E-3</v>
      </c>
      <c r="L436" s="22">
        <f t="shared" si="45"/>
        <v>2.2602339181286551E-3</v>
      </c>
      <c r="M436" s="22">
        <f t="shared" si="52"/>
        <v>1.7431383262295017E-2</v>
      </c>
      <c r="O436" s="9"/>
      <c r="P436" s="9"/>
    </row>
    <row r="437" spans="1:17" x14ac:dyDescent="0.15">
      <c r="A437" s="1"/>
      <c r="B437" s="9"/>
      <c r="C437" s="9"/>
      <c r="D437" s="20" t="s">
        <v>11</v>
      </c>
      <c r="E437" s="1">
        <v>90</v>
      </c>
      <c r="F437" s="36" t="s">
        <v>98</v>
      </c>
      <c r="G437" s="3">
        <v>3.4111111111111113E-2</v>
      </c>
      <c r="H437" s="4">
        <v>0.11355</v>
      </c>
      <c r="I437" s="83">
        <v>39.230769230769234</v>
      </c>
      <c r="J437" s="1" t="s">
        <v>223</v>
      </c>
      <c r="K437" s="36">
        <f t="shared" si="51"/>
        <v>9.772932601725575E-4</v>
      </c>
      <c r="L437" s="36">
        <f t="shared" si="45"/>
        <v>1.2616666666666666E-3</v>
      </c>
      <c r="M437" s="36">
        <f t="shared" si="52"/>
        <v>7.7267318011842358E-3</v>
      </c>
      <c r="O437" s="9"/>
      <c r="P437" s="9"/>
    </row>
    <row r="438" spans="1:17" x14ac:dyDescent="0.15">
      <c r="A438" s="10"/>
      <c r="B438" s="10"/>
      <c r="C438" s="10"/>
      <c r="D438" s="20" t="s">
        <v>11</v>
      </c>
      <c r="E438" s="1">
        <v>90</v>
      </c>
      <c r="F438" s="37" t="s">
        <v>99</v>
      </c>
      <c r="G438" s="40">
        <v>7.4999999999999997E-2</v>
      </c>
      <c r="H438" s="41">
        <v>2.9700000000000001E-2</v>
      </c>
      <c r="I438" s="82">
        <v>22.5</v>
      </c>
      <c r="J438" s="1" t="s">
        <v>223</v>
      </c>
      <c r="K438" s="37">
        <f t="shared" si="51"/>
        <v>3.0488024572872464E-4</v>
      </c>
      <c r="L438" s="37">
        <f t="shared" si="45"/>
        <v>3.3E-4</v>
      </c>
      <c r="M438" s="37">
        <f t="shared" si="52"/>
        <v>1.6988742559607032E-2</v>
      </c>
      <c r="O438" s="9"/>
      <c r="P438" s="9"/>
    </row>
    <row r="439" spans="1:17" x14ac:dyDescent="0.15">
      <c r="A439" s="10"/>
      <c r="B439" s="10"/>
      <c r="C439" s="10"/>
      <c r="D439" s="20" t="s">
        <v>11</v>
      </c>
      <c r="E439" s="1">
        <v>90</v>
      </c>
      <c r="F439" s="1" t="s">
        <v>100</v>
      </c>
      <c r="G439" s="3">
        <f>AVERAGE(G437:G438)</f>
        <v>5.4555555555555552E-2</v>
      </c>
      <c r="H439" s="4">
        <f>SUM(H437:H438)</f>
        <v>0.14324999999999999</v>
      </c>
      <c r="I439" s="83">
        <f>AVERAGE(I437:I438)</f>
        <v>30.865384615384617</v>
      </c>
      <c r="J439" s="1" t="s">
        <v>223</v>
      </c>
      <c r="K439" s="22">
        <f t="shared" si="51"/>
        <v>1.3662468850353525E-3</v>
      </c>
      <c r="L439" s="22">
        <f t="shared" si="45"/>
        <v>1.5916666666666666E-3</v>
      </c>
      <c r="M439" s="22">
        <f t="shared" si="52"/>
        <v>1.2357737180395633E-2</v>
      </c>
      <c r="O439" s="9"/>
      <c r="P439" s="9"/>
    </row>
    <row r="440" spans="1:17" x14ac:dyDescent="0.15">
      <c r="A440" s="1"/>
      <c r="B440" s="9"/>
      <c r="C440" s="9"/>
      <c r="D440" s="20" t="s">
        <v>12</v>
      </c>
      <c r="E440" s="1">
        <v>20.190000000000001</v>
      </c>
      <c r="F440" s="36" t="s">
        <v>98</v>
      </c>
      <c r="G440" s="3">
        <v>2.5559999999999999E-2</v>
      </c>
      <c r="H440" s="4">
        <v>2.4E-2</v>
      </c>
      <c r="I440" s="84">
        <v>36.799999999999997</v>
      </c>
      <c r="J440" s="1" t="s">
        <v>223</v>
      </c>
      <c r="K440" s="36">
        <f t="shared" si="51"/>
        <v>9.5183521063742465E-4</v>
      </c>
      <c r="L440" s="36">
        <f t="shared" si="45"/>
        <v>1.188707280832095E-3</v>
      </c>
      <c r="M440" s="36">
        <f t="shared" si="52"/>
        <v>9.4812558094240322E-3</v>
      </c>
      <c r="O440" s="9"/>
      <c r="P440" s="9"/>
    </row>
    <row r="441" spans="1:17" x14ac:dyDescent="0.15">
      <c r="A441" s="1"/>
      <c r="B441" s="9"/>
      <c r="C441" s="9"/>
      <c r="D441" s="20" t="s">
        <v>12</v>
      </c>
      <c r="E441" s="1">
        <v>20.190000000000001</v>
      </c>
      <c r="F441" s="37" t="s">
        <v>99</v>
      </c>
      <c r="G441" s="3">
        <v>7.5039999999999996E-2</v>
      </c>
      <c r="H441" s="4">
        <v>9.5999999999999992E-3</v>
      </c>
      <c r="I441" s="84">
        <v>0</v>
      </c>
      <c r="J441" s="1" t="s">
        <v>223</v>
      </c>
      <c r="K441" s="37">
        <f t="shared" si="51"/>
        <v>4.7548291233283796E-4</v>
      </c>
      <c r="L441" s="37">
        <f t="shared" si="45"/>
        <v>4.7548291233283796E-4</v>
      </c>
      <c r="M441" s="37">
        <f t="shared" si="52"/>
        <v>2.7835423941282449E-2</v>
      </c>
      <c r="O441" s="9"/>
      <c r="P441" s="9"/>
    </row>
    <row r="442" spans="1:17" x14ac:dyDescent="0.15">
      <c r="A442" s="1"/>
      <c r="B442" s="9"/>
      <c r="C442" s="9"/>
      <c r="D442" s="20" t="s">
        <v>12</v>
      </c>
      <c r="E442" s="1">
        <v>20.190000000000001</v>
      </c>
      <c r="F442" s="1" t="s">
        <v>100</v>
      </c>
      <c r="G442" s="3">
        <f>AVERAGE(G440:G441)</f>
        <v>5.0299999999999997E-2</v>
      </c>
      <c r="H442" s="4">
        <f>SUM(H440:H441)</f>
        <v>3.3599999999999998E-2</v>
      </c>
      <c r="I442" s="83">
        <f>AVERAGE(I440:I441)</f>
        <v>18.399999999999999</v>
      </c>
      <c r="J442" s="1" t="s">
        <v>223</v>
      </c>
      <c r="K442" s="22">
        <f t="shared" si="51"/>
        <v>1.5791101531082259E-3</v>
      </c>
      <c r="L442" s="22">
        <f t="shared" si="45"/>
        <v>1.6641901931649329E-3</v>
      </c>
      <c r="M442" s="22">
        <f t="shared" si="52"/>
        <v>1.8658339875353241E-2</v>
      </c>
      <c r="O442" s="9"/>
      <c r="P442" s="9"/>
    </row>
    <row r="443" spans="1:17" x14ac:dyDescent="0.15">
      <c r="A443" s="1"/>
      <c r="B443" s="9"/>
      <c r="C443" s="9"/>
      <c r="D443" s="20" t="s">
        <v>13</v>
      </c>
      <c r="E443" s="1">
        <v>27.7</v>
      </c>
      <c r="F443" s="36" t="s">
        <v>98</v>
      </c>
      <c r="G443" s="3">
        <v>4.4333333333333336E-2</v>
      </c>
      <c r="H443" s="4">
        <v>3.075E-2</v>
      </c>
      <c r="I443" s="83">
        <v>28</v>
      </c>
      <c r="J443" s="1" t="s">
        <v>223</v>
      </c>
      <c r="K443" s="36">
        <f t="shared" si="51"/>
        <v>9.8016745416649835E-4</v>
      </c>
      <c r="L443" s="36">
        <f t="shared" si="45"/>
        <v>1.1101083032490975E-3</v>
      </c>
      <c r="M443" s="36">
        <f t="shared" si="52"/>
        <v>1.4815355003865998E-2</v>
      </c>
      <c r="O443" s="9"/>
      <c r="P443" s="9"/>
    </row>
    <row r="444" spans="1:17" x14ac:dyDescent="0.15">
      <c r="A444" s="1"/>
      <c r="B444" s="9"/>
      <c r="C444" s="9"/>
      <c r="D444" s="20" t="s">
        <v>13</v>
      </c>
      <c r="E444" s="1">
        <v>27.7</v>
      </c>
      <c r="F444" s="37" t="s">
        <v>99</v>
      </c>
      <c r="G444" s="3">
        <v>8.7750000000000009E-2</v>
      </c>
      <c r="H444" s="4">
        <v>8.3300000000000006E-3</v>
      </c>
      <c r="I444" s="83">
        <v>0</v>
      </c>
      <c r="J444" s="1" t="s">
        <v>223</v>
      </c>
      <c r="K444" s="37">
        <f t="shared" si="51"/>
        <v>3.0072202166064985E-4</v>
      </c>
      <c r="L444" s="37">
        <f t="shared" si="45"/>
        <v>3.0072202166064985E-4</v>
      </c>
      <c r="M444" s="37">
        <f t="shared" si="52"/>
        <v>2.9324377479456574E-2</v>
      </c>
      <c r="O444" s="9"/>
      <c r="P444" s="9"/>
    </row>
    <row r="445" spans="1:17" x14ac:dyDescent="0.15">
      <c r="A445" s="1"/>
      <c r="B445" s="9"/>
      <c r="C445" s="9"/>
      <c r="D445" s="20" t="s">
        <v>13</v>
      </c>
      <c r="E445" s="1">
        <v>27.7</v>
      </c>
      <c r="F445" s="1" t="s">
        <v>100</v>
      </c>
      <c r="G445" s="3">
        <f>AVERAGE(G443:G444)</f>
        <v>6.6041666666666665E-2</v>
      </c>
      <c r="H445" s="4">
        <f>SUM(H443:H444)</f>
        <v>3.9080000000000004E-2</v>
      </c>
      <c r="I445" s="83">
        <f>AVERAGE(I443:I444)</f>
        <v>14</v>
      </c>
      <c r="J445" s="1" t="s">
        <v>223</v>
      </c>
      <c r="K445" s="22">
        <f t="shared" si="51"/>
        <v>1.3689226347605033E-3</v>
      </c>
      <c r="L445" s="22">
        <f t="shared" si="45"/>
        <v>1.4108303249097474E-3</v>
      </c>
      <c r="M445" s="22">
        <f t="shared" si="52"/>
        <v>2.2069866241661285E-2</v>
      </c>
      <c r="O445" s="9"/>
      <c r="P445" s="9"/>
    </row>
    <row r="446" spans="1:17" x14ac:dyDescent="0.15">
      <c r="A446" s="1"/>
      <c r="B446" s="9"/>
      <c r="C446" s="9"/>
      <c r="D446" s="26" t="s">
        <v>14</v>
      </c>
      <c r="E446" s="42">
        <v>278</v>
      </c>
      <c r="F446" s="36" t="s">
        <v>98</v>
      </c>
      <c r="G446" s="6">
        <v>0.109</v>
      </c>
      <c r="H446" s="7">
        <v>0.3266</v>
      </c>
      <c r="I446" s="88">
        <v>39</v>
      </c>
      <c r="J446" s="1" t="s">
        <v>223</v>
      </c>
      <c r="K446" s="36">
        <f t="shared" si="51"/>
        <v>9.1300673025844145E-4</v>
      </c>
      <c r="L446" s="36">
        <f t="shared" si="45"/>
        <v>1.1748201438848921E-3</v>
      </c>
      <c r="M446" s="36">
        <f t="shared" si="52"/>
        <v>1.7017341540095748E-2</v>
      </c>
      <c r="O446" s="9"/>
      <c r="P446" s="9"/>
    </row>
    <row r="447" spans="1:17" x14ac:dyDescent="0.15">
      <c r="A447" s="1"/>
      <c r="B447" s="9"/>
      <c r="C447" s="9"/>
      <c r="D447" s="26" t="s">
        <v>14</v>
      </c>
      <c r="E447" s="42">
        <v>278</v>
      </c>
      <c r="F447" s="37" t="s">
        <v>99</v>
      </c>
      <c r="G447" s="6">
        <v>0.17100000000000001</v>
      </c>
      <c r="H447" s="7">
        <v>7.2700000000000001E-2</v>
      </c>
      <c r="I447" s="88">
        <v>0</v>
      </c>
      <c r="J447" s="1" t="s">
        <v>223</v>
      </c>
      <c r="K447" s="37">
        <f t="shared" si="51"/>
        <v>2.6151079136690648E-4</v>
      </c>
      <c r="L447" s="37">
        <f t="shared" si="45"/>
        <v>2.6151079136690648E-4</v>
      </c>
      <c r="M447" s="37">
        <f t="shared" si="52"/>
        <v>2.6696930306021771E-2</v>
      </c>
      <c r="O447" s="9"/>
      <c r="P447" s="22"/>
    </row>
    <row r="448" spans="1:17" x14ac:dyDescent="0.15">
      <c r="A448" s="1"/>
      <c r="B448" s="9"/>
      <c r="C448" s="9"/>
      <c r="D448" s="26" t="s">
        <v>14</v>
      </c>
      <c r="E448" s="42">
        <v>278</v>
      </c>
      <c r="F448" s="1" t="s">
        <v>100</v>
      </c>
      <c r="G448" s="3">
        <f>AVERAGE(G446:G447)</f>
        <v>0.14000000000000001</v>
      </c>
      <c r="H448" s="4">
        <f>SUM(H446:H447)</f>
        <v>0.39929999999999999</v>
      </c>
      <c r="I448" s="83">
        <f>AVERAGE(I446:I447)</f>
        <v>19.5</v>
      </c>
      <c r="J448" s="1" t="s">
        <v>223</v>
      </c>
      <c r="K448" s="22">
        <f t="shared" si="51"/>
        <v>1.3539451345075785E-3</v>
      </c>
      <c r="L448" s="22">
        <f t="shared" si="45"/>
        <v>1.4363309352517985E-3</v>
      </c>
      <c r="M448" s="22">
        <f t="shared" si="52"/>
        <v>2.1857135923058761E-2</v>
      </c>
      <c r="O448" s="9"/>
      <c r="P448" s="9"/>
      <c r="Q448" s="22"/>
    </row>
    <row r="449" spans="1:17" x14ac:dyDescent="0.15">
      <c r="A449" s="1"/>
      <c r="B449" s="9"/>
      <c r="C449" s="9"/>
      <c r="D449" s="26" t="s">
        <v>15</v>
      </c>
      <c r="E449" s="42">
        <v>7.7</v>
      </c>
      <c r="F449" s="36" t="s">
        <v>98</v>
      </c>
      <c r="G449" s="6">
        <v>3.1399999999999997E-2</v>
      </c>
      <c r="H449" s="7">
        <v>9.7070000000000004E-3</v>
      </c>
      <c r="I449" s="88">
        <v>15</v>
      </c>
      <c r="J449" s="1" t="s">
        <v>223</v>
      </c>
      <c r="K449" s="36">
        <f t="shared" si="51"/>
        <v>1.2176937656867516E-3</v>
      </c>
      <c r="L449" s="36">
        <f t="shared" si="45"/>
        <v>1.2606493506493507E-3</v>
      </c>
      <c r="M449" s="36">
        <f t="shared" si="52"/>
        <v>1.6009866435241417E-2</v>
      </c>
      <c r="Q449" s="22"/>
    </row>
    <row r="450" spans="1:17" x14ac:dyDescent="0.15">
      <c r="A450" s="1"/>
      <c r="B450" s="9"/>
      <c r="C450" s="9"/>
      <c r="D450" s="26" t="s">
        <v>15</v>
      </c>
      <c r="E450" s="42">
        <v>7.7</v>
      </c>
      <c r="F450" s="37" t="s">
        <v>99</v>
      </c>
      <c r="G450" s="6">
        <v>1.6E-2</v>
      </c>
      <c r="H450" s="7">
        <v>2.8419999999999999E-3</v>
      </c>
      <c r="I450" s="88">
        <v>0</v>
      </c>
      <c r="J450" s="1" t="s">
        <v>223</v>
      </c>
      <c r="K450" s="37">
        <v>3.6909090909090908E-4</v>
      </c>
      <c r="L450" s="37">
        <f t="shared" si="45"/>
        <v>3.6909090909090908E-4</v>
      </c>
      <c r="M450" s="37">
        <f t="shared" si="52"/>
        <v>8.1578937249637811E-3</v>
      </c>
      <c r="Q450" s="22"/>
    </row>
    <row r="451" spans="1:17" x14ac:dyDescent="0.15">
      <c r="A451" s="1"/>
      <c r="B451" s="9"/>
      <c r="C451" s="9"/>
      <c r="D451" s="26" t="s">
        <v>15</v>
      </c>
      <c r="E451" s="42">
        <v>7.7</v>
      </c>
      <c r="F451" s="1" t="s">
        <v>100</v>
      </c>
      <c r="G451" s="3">
        <f>AVERAGE(G449:G450)</f>
        <v>2.3699999999999999E-2</v>
      </c>
      <c r="H451" s="4">
        <f>SUM(H449:H450)</f>
        <v>1.2549000000000001E-2</v>
      </c>
      <c r="I451" s="83">
        <f>AVERAGE(I449:I450)</f>
        <v>7.5</v>
      </c>
      <c r="J451" s="1" t="s">
        <v>223</v>
      </c>
      <c r="K451" s="22">
        <f t="shared" ref="K451:K470" si="53">H451*COS(RADIANS(I451))/E451</f>
        <v>1.6157976058934996E-3</v>
      </c>
      <c r="L451" s="22">
        <f t="shared" si="45"/>
        <v>1.6297402597402599E-3</v>
      </c>
      <c r="M451" s="22">
        <f t="shared" si="52"/>
        <v>1.20838800801026E-2</v>
      </c>
      <c r="Q451" s="22"/>
    </row>
    <row r="452" spans="1:17" x14ac:dyDescent="0.15">
      <c r="A452" s="1"/>
      <c r="B452" s="9"/>
      <c r="C452" s="9"/>
      <c r="D452" s="20" t="s">
        <v>14</v>
      </c>
      <c r="E452" s="1">
        <v>3.7</v>
      </c>
      <c r="F452" s="36" t="s">
        <v>98</v>
      </c>
      <c r="G452" s="40">
        <v>2.2082999999999998E-2</v>
      </c>
      <c r="H452" s="41">
        <v>4.1343999999999999E-3</v>
      </c>
      <c r="I452" s="82">
        <v>25.66667</v>
      </c>
      <c r="J452" s="1" t="s">
        <v>222</v>
      </c>
      <c r="K452" s="36">
        <f t="shared" si="53"/>
        <v>1.007150048891448E-3</v>
      </c>
      <c r="L452" s="36">
        <f t="shared" si="45"/>
        <v>1.1174054054054053E-3</v>
      </c>
      <c r="M452" s="36">
        <f t="shared" si="52"/>
        <v>1.4340077666921497E-2</v>
      </c>
      <c r="Q452" s="22"/>
    </row>
    <row r="453" spans="1:17" x14ac:dyDescent="0.15">
      <c r="A453" s="1"/>
      <c r="B453" s="9"/>
      <c r="C453" s="9"/>
      <c r="D453" s="20" t="s">
        <v>14</v>
      </c>
      <c r="E453" s="1">
        <v>3.7</v>
      </c>
      <c r="F453" s="37" t="s">
        <v>99</v>
      </c>
      <c r="G453" s="6">
        <v>4.8500000000000001E-2</v>
      </c>
      <c r="H453" s="7">
        <v>1.0616E-3</v>
      </c>
      <c r="I453" s="88">
        <v>14.66667</v>
      </c>
      <c r="J453" s="1" t="s">
        <v>222</v>
      </c>
      <c r="K453" s="59">
        <f t="shared" si="53"/>
        <v>2.7756972468759202E-4</v>
      </c>
      <c r="L453" s="59">
        <f t="shared" ref="L453:L516" si="54">H453/E453</f>
        <v>2.8691891891891892E-4</v>
      </c>
      <c r="M453" s="59">
        <f t="shared" si="52"/>
        <v>3.1494532755771076E-2</v>
      </c>
      <c r="Q453" s="22"/>
    </row>
    <row r="454" spans="1:17" x14ac:dyDescent="0.15">
      <c r="A454" s="1"/>
      <c r="B454" s="9"/>
      <c r="C454" s="9"/>
      <c r="D454" s="20" t="s">
        <v>14</v>
      </c>
      <c r="E454" s="1">
        <v>3.7</v>
      </c>
      <c r="F454" s="1" t="s">
        <v>100</v>
      </c>
      <c r="G454" s="3">
        <f>AVERAGE(G452:G453)</f>
        <v>3.5291500000000003E-2</v>
      </c>
      <c r="H454" s="4">
        <f>SUM(H452:H453)</f>
        <v>5.1960000000000001E-3</v>
      </c>
      <c r="I454" s="83">
        <f>AVERAGE(I452:I453)</f>
        <v>20.16667</v>
      </c>
      <c r="J454" s="1" t="s">
        <v>222</v>
      </c>
      <c r="K454" s="22">
        <f t="shared" si="53"/>
        <v>1.3182304384352079E-3</v>
      </c>
      <c r="L454" s="22">
        <f t="shared" si="54"/>
        <v>1.4043243243243243E-3</v>
      </c>
      <c r="M454" s="22">
        <f t="shared" si="52"/>
        <v>2.2917305211346287E-2</v>
      </c>
      <c r="Q454" s="22"/>
    </row>
    <row r="455" spans="1:17" x14ac:dyDescent="0.15">
      <c r="A455" s="1"/>
      <c r="B455" s="9"/>
      <c r="C455" s="9"/>
      <c r="D455" s="20" t="s">
        <v>18</v>
      </c>
      <c r="E455" s="21">
        <v>8.9999999999999993E-3</v>
      </c>
      <c r="F455" s="22" t="s">
        <v>103</v>
      </c>
      <c r="G455" s="3" t="s">
        <v>35</v>
      </c>
      <c r="H455" s="7">
        <f>0.701*E455/100</f>
        <v>6.3089999999999994E-5</v>
      </c>
      <c r="I455" s="88">
        <v>0</v>
      </c>
      <c r="J455" s="28" t="s">
        <v>20</v>
      </c>
      <c r="K455" s="22">
        <f t="shared" si="53"/>
        <v>7.0099999999999997E-3</v>
      </c>
      <c r="L455" s="22">
        <f t="shared" si="54"/>
        <v>7.0099999999999997E-3</v>
      </c>
      <c r="M455" s="108">
        <v>0</v>
      </c>
    </row>
    <row r="456" spans="1:17" x14ac:dyDescent="0.15">
      <c r="A456" s="1"/>
      <c r="B456" s="9"/>
      <c r="C456" s="9"/>
      <c r="D456" s="20" t="s">
        <v>21</v>
      </c>
      <c r="E456" s="21">
        <v>1.2999999999999999E-2</v>
      </c>
      <c r="F456" s="22" t="s">
        <v>103</v>
      </c>
      <c r="G456" s="3" t="s">
        <v>35</v>
      </c>
      <c r="H456" s="4">
        <f>0.12*E456/100</f>
        <v>1.56E-5</v>
      </c>
      <c r="I456" s="83">
        <v>0</v>
      </c>
      <c r="J456" s="28" t="s">
        <v>20</v>
      </c>
      <c r="K456" s="22">
        <f t="shared" si="53"/>
        <v>1.2000000000000001E-3</v>
      </c>
      <c r="L456" s="22">
        <f t="shared" si="54"/>
        <v>1.2000000000000001E-3</v>
      </c>
      <c r="M456" s="108">
        <v>0</v>
      </c>
    </row>
    <row r="457" spans="1:17" x14ac:dyDescent="0.15">
      <c r="A457" s="1"/>
      <c r="B457" s="9"/>
      <c r="C457" s="9"/>
      <c r="D457" s="20" t="s">
        <v>22</v>
      </c>
      <c r="E457" s="21">
        <v>1.6E-2</v>
      </c>
      <c r="F457" s="22" t="s">
        <v>103</v>
      </c>
      <c r="G457" s="6" t="s">
        <v>35</v>
      </c>
      <c r="H457" s="7">
        <f>0.178*E457/100</f>
        <v>2.8479999999999998E-5</v>
      </c>
      <c r="I457" s="88">
        <v>0</v>
      </c>
      <c r="J457" s="28" t="s">
        <v>20</v>
      </c>
      <c r="K457" s="22">
        <f t="shared" si="53"/>
        <v>1.7799999999999999E-3</v>
      </c>
      <c r="L457" s="22">
        <f t="shared" si="54"/>
        <v>1.7799999999999999E-3</v>
      </c>
      <c r="M457" s="108">
        <v>0</v>
      </c>
    </row>
    <row r="458" spans="1:17" x14ac:dyDescent="0.15">
      <c r="A458" s="1"/>
      <c r="B458" s="9"/>
      <c r="C458" s="9"/>
      <c r="D458" s="20" t="s">
        <v>23</v>
      </c>
      <c r="E458" s="21">
        <v>0.443</v>
      </c>
      <c r="F458" s="22" t="s">
        <v>103</v>
      </c>
      <c r="G458" s="3">
        <f>2.941*E458^(0.33)/100</f>
        <v>2.24806184241165E-2</v>
      </c>
      <c r="H458" s="4">
        <f>0.291*E458/100</f>
        <v>1.2891300000000001E-3</v>
      </c>
      <c r="I458" s="83">
        <v>20.667000000000002</v>
      </c>
      <c r="J458" s="28" t="s">
        <v>20</v>
      </c>
      <c r="K458" s="22">
        <f t="shared" si="53"/>
        <v>2.7227341160405857E-3</v>
      </c>
      <c r="L458" s="22">
        <f t="shared" si="54"/>
        <v>2.9100000000000003E-3</v>
      </c>
      <c r="M458" s="22">
        <f t="shared" ref="M458:M467" si="55">G458/(E458^0.33)</f>
        <v>2.9409999999999999E-2</v>
      </c>
    </row>
    <row r="459" spans="1:17" x14ac:dyDescent="0.15">
      <c r="A459" s="1"/>
      <c r="B459" s="9"/>
      <c r="C459" s="9"/>
      <c r="D459" s="20" t="s">
        <v>24</v>
      </c>
      <c r="E459" s="21">
        <v>36.667000000000002</v>
      </c>
      <c r="F459" s="22" t="s">
        <v>103</v>
      </c>
      <c r="G459" s="3">
        <f>1.832*E459^(0.33)/100</f>
        <v>6.0136250214882551E-2</v>
      </c>
      <c r="H459" s="7">
        <f>0.257*E459/100</f>
        <v>9.4234190000000009E-2</v>
      </c>
      <c r="I459" s="88">
        <v>25.667000000000002</v>
      </c>
      <c r="J459" s="28" t="s">
        <v>20</v>
      </c>
      <c r="K459" s="22">
        <f t="shared" si="53"/>
        <v>2.3164094687942159E-3</v>
      </c>
      <c r="L459" s="22">
        <f t="shared" si="54"/>
        <v>2.5700000000000002E-3</v>
      </c>
      <c r="M459" s="22">
        <f t="shared" si="55"/>
        <v>1.8319999999999999E-2</v>
      </c>
    </row>
    <row r="460" spans="1:17" x14ac:dyDescent="0.15">
      <c r="A460" s="1"/>
      <c r="B460" s="9"/>
      <c r="C460" s="9"/>
      <c r="D460" s="20" t="s">
        <v>25</v>
      </c>
      <c r="E460" s="1">
        <v>1.381</v>
      </c>
      <c r="F460" s="22" t="s">
        <v>103</v>
      </c>
      <c r="G460" s="3">
        <f>3.431*E460^(0.33)/100</f>
        <v>3.8166701822195503E-2</v>
      </c>
      <c r="H460" s="4">
        <f>0.285*E460/100</f>
        <v>3.9358499999999994E-3</v>
      </c>
      <c r="I460" s="83">
        <v>23.277999999999999</v>
      </c>
      <c r="J460" s="28" t="s">
        <v>20</v>
      </c>
      <c r="K460" s="22">
        <f t="shared" si="53"/>
        <v>2.6180048477808535E-3</v>
      </c>
      <c r="L460" s="22">
        <f t="shared" si="54"/>
        <v>2.8499999999999997E-3</v>
      </c>
      <c r="M460" s="22">
        <f t="shared" si="55"/>
        <v>3.431E-2</v>
      </c>
    </row>
    <row r="461" spans="1:17" x14ac:dyDescent="0.15">
      <c r="A461" s="1"/>
      <c r="B461" s="9"/>
      <c r="C461" s="9"/>
      <c r="D461" s="20" t="s">
        <v>26</v>
      </c>
      <c r="E461" s="1">
        <v>0.158</v>
      </c>
      <c r="F461" s="22" t="s">
        <v>103</v>
      </c>
      <c r="G461" s="3">
        <f>2*E461^(0.33)/100</f>
        <v>1.0878946333479671E-2</v>
      </c>
      <c r="H461" s="7">
        <f>0.142*E461/100</f>
        <v>2.2435999999999997E-4</v>
      </c>
      <c r="I461" s="88">
        <v>20.332999999999998</v>
      </c>
      <c r="J461" s="28" t="s">
        <v>20</v>
      </c>
      <c r="K461" s="22">
        <f t="shared" si="53"/>
        <v>1.3315183210276171E-3</v>
      </c>
      <c r="L461" s="22">
        <f t="shared" si="54"/>
        <v>1.4199999999999998E-3</v>
      </c>
      <c r="M461" s="22">
        <f t="shared" si="55"/>
        <v>0.02</v>
      </c>
    </row>
    <row r="462" spans="1:17" x14ac:dyDescent="0.15">
      <c r="A462" s="1"/>
      <c r="B462" s="9"/>
      <c r="C462" s="9"/>
      <c r="D462" s="20" t="s">
        <v>27</v>
      </c>
      <c r="E462" s="1">
        <v>0.158</v>
      </c>
      <c r="F462" s="22" t="s">
        <v>103</v>
      </c>
      <c r="G462" s="3">
        <f>3.008*E462^(0.33)/100</f>
        <v>1.6361935285553426E-2</v>
      </c>
      <c r="H462" s="4">
        <f>0.305*E462/100</f>
        <v>4.8189999999999995E-4</v>
      </c>
      <c r="I462" s="83">
        <v>22.332999999999998</v>
      </c>
      <c r="J462" s="28" t="s">
        <v>20</v>
      </c>
      <c r="K462" s="22">
        <f t="shared" si="53"/>
        <v>2.8212225923344232E-3</v>
      </c>
      <c r="L462" s="22">
        <f t="shared" si="54"/>
        <v>3.0499999999999998E-3</v>
      </c>
      <c r="M462" s="22">
        <f t="shared" si="55"/>
        <v>3.0080000000000003E-2</v>
      </c>
    </row>
    <row r="463" spans="1:17" x14ac:dyDescent="0.15">
      <c r="A463" s="1"/>
      <c r="B463" s="9"/>
      <c r="C463" s="9"/>
      <c r="D463" s="60" t="s">
        <v>28</v>
      </c>
      <c r="E463" s="1">
        <v>2.6230000000000002</v>
      </c>
      <c r="F463" s="22" t="s">
        <v>103</v>
      </c>
      <c r="G463" s="3">
        <f>3*E463^(0.33)/100</f>
        <v>4.1240572984513474E-2</v>
      </c>
      <c r="H463" s="7">
        <f>0.284*E463/100</f>
        <v>7.4493200000000006E-3</v>
      </c>
      <c r="I463" s="88">
        <v>26</v>
      </c>
      <c r="J463" s="28" t="s">
        <v>20</v>
      </c>
      <c r="K463" s="22">
        <f t="shared" si="53"/>
        <v>2.5525750914896341E-3</v>
      </c>
      <c r="L463" s="22">
        <f t="shared" si="54"/>
        <v>2.8400000000000001E-3</v>
      </c>
      <c r="M463" s="22">
        <f t="shared" si="55"/>
        <v>0.03</v>
      </c>
    </row>
    <row r="464" spans="1:17" x14ac:dyDescent="0.15">
      <c r="A464" s="1"/>
      <c r="B464" s="9"/>
      <c r="C464" s="9"/>
      <c r="D464" s="20" t="s">
        <v>41</v>
      </c>
      <c r="E464" s="21">
        <v>9.7070000000000004E-2</v>
      </c>
      <c r="F464" s="22" t="s">
        <v>103</v>
      </c>
      <c r="G464" s="3">
        <v>3.9129999999999998E-3</v>
      </c>
      <c r="H464" s="4">
        <v>8.3700000000000002E-5</v>
      </c>
      <c r="I464" s="83">
        <v>26</v>
      </c>
      <c r="J464" s="28" t="s">
        <v>43</v>
      </c>
      <c r="K464" s="9">
        <f t="shared" si="53"/>
        <v>7.7499805990769832E-4</v>
      </c>
      <c r="L464" s="9">
        <f t="shared" si="54"/>
        <v>8.6226434531781184E-4</v>
      </c>
      <c r="M464" s="22">
        <f t="shared" si="55"/>
        <v>8.4483478702849779E-3</v>
      </c>
    </row>
    <row r="465" spans="1:14" x14ac:dyDescent="0.15">
      <c r="A465" s="1"/>
      <c r="B465" s="9"/>
      <c r="C465" s="9"/>
      <c r="D465" s="20" t="s">
        <v>41</v>
      </c>
      <c r="E465" s="21">
        <v>0.10265000000000001</v>
      </c>
      <c r="F465" s="22" t="s">
        <v>103</v>
      </c>
      <c r="G465" s="6">
        <v>5.803E-3</v>
      </c>
      <c r="H465" s="7">
        <v>1.5019999999999999E-4</v>
      </c>
      <c r="I465" s="88">
        <v>21</v>
      </c>
      <c r="J465" s="28" t="s">
        <v>43</v>
      </c>
      <c r="K465" s="9">
        <f t="shared" si="53"/>
        <v>1.3660377989272254E-3</v>
      </c>
      <c r="L465" s="9">
        <f t="shared" si="54"/>
        <v>1.463224549439844E-3</v>
      </c>
      <c r="M465" s="22">
        <f t="shared" si="55"/>
        <v>1.2299971802906835E-2</v>
      </c>
    </row>
    <row r="466" spans="1:14" x14ac:dyDescent="0.15">
      <c r="A466" s="1"/>
      <c r="B466" s="9"/>
      <c r="C466" s="9"/>
      <c r="D466" s="20" t="s">
        <v>42</v>
      </c>
      <c r="E466" s="21">
        <v>5.7000000000000002E-2</v>
      </c>
      <c r="F466" s="22" t="s">
        <v>103</v>
      </c>
      <c r="G466" s="3">
        <v>4.9789999999999999E-3</v>
      </c>
      <c r="H466" s="4">
        <v>3.7200000000000003E-5</v>
      </c>
      <c r="I466" s="83">
        <v>15</v>
      </c>
      <c r="J466" s="28" t="s">
        <v>43</v>
      </c>
      <c r="K466" s="9">
        <f t="shared" si="53"/>
        <v>6.3039369715707613E-4</v>
      </c>
      <c r="L466" s="9">
        <f t="shared" si="54"/>
        <v>6.5263157894736843E-4</v>
      </c>
      <c r="M466" s="22">
        <f t="shared" si="55"/>
        <v>1.2814551886798557E-2</v>
      </c>
    </row>
    <row r="467" spans="1:14" x14ac:dyDescent="0.15">
      <c r="A467" s="1"/>
      <c r="B467" s="9"/>
      <c r="C467" s="9"/>
      <c r="D467" s="20" t="s">
        <v>42</v>
      </c>
      <c r="E467" s="21">
        <v>5.1700000000000003E-2</v>
      </c>
      <c r="F467" s="22" t="s">
        <v>103</v>
      </c>
      <c r="G467" s="6">
        <v>3.493E-3</v>
      </c>
      <c r="H467" s="7">
        <v>3.01E-5</v>
      </c>
      <c r="I467" s="88">
        <v>14</v>
      </c>
      <c r="J467" s="28" t="s">
        <v>43</v>
      </c>
      <c r="K467" s="9">
        <f t="shared" si="53"/>
        <v>5.6491105146823004E-4</v>
      </c>
      <c r="L467" s="9">
        <f t="shared" si="54"/>
        <v>5.8220502901353964E-4</v>
      </c>
      <c r="M467" s="22">
        <f t="shared" si="55"/>
        <v>9.2842474365368698E-3</v>
      </c>
    </row>
    <row r="468" spans="1:14" x14ac:dyDescent="0.15">
      <c r="A468" s="10"/>
      <c r="B468" s="9"/>
      <c r="C468" s="9"/>
      <c r="D468" s="18" t="s">
        <v>111</v>
      </c>
      <c r="E468" s="21">
        <v>0.89984193999999995</v>
      </c>
      <c r="F468" s="22" t="s">
        <v>98</v>
      </c>
      <c r="G468" s="23"/>
      <c r="H468" s="73">
        <v>2.2347432743200003E-3</v>
      </c>
      <c r="I468" s="90">
        <f>AVERAGE(I434:I467)</f>
        <v>18.00953423076923</v>
      </c>
      <c r="J468" s="21" t="s">
        <v>206</v>
      </c>
      <c r="K468" s="32">
        <f t="shared" si="53"/>
        <v>2.3618061299078143E-3</v>
      </c>
      <c r="L468" s="32">
        <f t="shared" si="54"/>
        <v>2.483484237598439E-3</v>
      </c>
      <c r="N468" s="21">
        <f>1/H$470*H468</f>
        <v>0.64284007118267439</v>
      </c>
    </row>
    <row r="469" spans="1:14" x14ac:dyDescent="0.15">
      <c r="A469" s="10"/>
      <c r="B469" s="9"/>
      <c r="C469" s="9"/>
      <c r="D469" s="18" t="s">
        <v>111</v>
      </c>
      <c r="E469" s="21">
        <v>0.89984193999999995</v>
      </c>
      <c r="F469" s="22" t="s">
        <v>99</v>
      </c>
      <c r="G469" s="23"/>
      <c r="H469" s="73">
        <v>1.2416163592800001E-3</v>
      </c>
      <c r="I469" s="90">
        <f>AVERAGE(I434:I467)</f>
        <v>18.00953423076923</v>
      </c>
      <c r="J469" s="21" t="s">
        <v>206</v>
      </c>
      <c r="K469" s="32">
        <f t="shared" si="53"/>
        <v>1.3122120836155694E-3</v>
      </c>
      <c r="L469" s="32">
        <f t="shared" si="54"/>
        <v>1.3798160588958548E-3</v>
      </c>
      <c r="N469" s="21">
        <f>1/H$470*H469</f>
        <v>0.35715992881732556</v>
      </c>
    </row>
    <row r="470" spans="1:14" x14ac:dyDescent="0.15">
      <c r="A470" s="1"/>
      <c r="B470" s="9"/>
      <c r="C470" s="9"/>
      <c r="D470" s="68" t="s">
        <v>111</v>
      </c>
      <c r="E470" s="51">
        <v>0.89984193999999995</v>
      </c>
      <c r="F470" s="22" t="s">
        <v>115</v>
      </c>
      <c r="G470" s="23"/>
      <c r="H470" s="73">
        <f>SUM(H468:H469)</f>
        <v>3.4763596336000006E-3</v>
      </c>
      <c r="I470" s="90">
        <f>AVERAGE(I468:I469)</f>
        <v>18.00953423076923</v>
      </c>
      <c r="J470" s="21" t="s">
        <v>206</v>
      </c>
      <c r="K470" s="32">
        <f t="shared" si="53"/>
        <v>3.6740182135233841E-3</v>
      </c>
      <c r="L470" s="32">
        <f t="shared" si="54"/>
        <v>3.863300296494294E-3</v>
      </c>
    </row>
    <row r="471" spans="1:14" x14ac:dyDescent="0.15">
      <c r="A471" s="1"/>
      <c r="B471" s="9"/>
      <c r="C471" s="9"/>
      <c r="I471" s="85"/>
    </row>
    <row r="472" spans="1:14" x14ac:dyDescent="0.15">
      <c r="A472" s="1"/>
      <c r="B472" s="9"/>
      <c r="C472" s="9"/>
      <c r="I472" s="85"/>
    </row>
    <row r="473" spans="1:14" x14ac:dyDescent="0.15">
      <c r="A473" s="61" t="s">
        <v>104</v>
      </c>
      <c r="B473" s="62" t="s">
        <v>102</v>
      </c>
      <c r="C473" s="62" t="s">
        <v>101</v>
      </c>
      <c r="D473" s="67" t="s">
        <v>8</v>
      </c>
      <c r="E473" s="51">
        <v>17.100000000000001</v>
      </c>
      <c r="F473" s="51" t="s">
        <v>106</v>
      </c>
      <c r="G473" s="63">
        <v>1.5428571428571429E-2</v>
      </c>
      <c r="H473" s="64">
        <v>2.33E-3</v>
      </c>
      <c r="I473" s="94">
        <v>33</v>
      </c>
      <c r="J473" s="1" t="s">
        <v>223</v>
      </c>
      <c r="K473" s="66">
        <f t="shared" ref="K473:K486" si="56">H473*COS(RADIANS(I473))/E473</f>
        <v>1.1427499551537063E-4</v>
      </c>
      <c r="L473" s="66">
        <f t="shared" si="54"/>
        <v>1.3625730994152045E-4</v>
      </c>
      <c r="M473" s="22">
        <f t="shared" ref="M473:M485" si="57">G473/(E473^0.33)</f>
        <v>6.045566449350873E-3</v>
      </c>
    </row>
    <row r="474" spans="1:14" x14ac:dyDescent="0.15">
      <c r="A474" s="65"/>
      <c r="B474" s="65"/>
      <c r="C474" s="65"/>
      <c r="D474" s="67" t="s">
        <v>11</v>
      </c>
      <c r="E474" s="51">
        <v>90</v>
      </c>
      <c r="F474" s="51" t="s">
        <v>106</v>
      </c>
      <c r="G474" s="63">
        <v>2.98E-2</v>
      </c>
      <c r="H474" s="64">
        <v>9.75E-3</v>
      </c>
      <c r="I474" s="94">
        <v>27</v>
      </c>
      <c r="J474" s="1" t="s">
        <v>223</v>
      </c>
      <c r="K474" s="66">
        <f t="shared" si="56"/>
        <v>9.6525706787073179E-5</v>
      </c>
      <c r="L474" s="66">
        <f t="shared" si="54"/>
        <v>1.0833333333333333E-4</v>
      </c>
      <c r="M474" s="22">
        <f t="shared" si="57"/>
        <v>6.7501937103505273E-3</v>
      </c>
    </row>
    <row r="475" spans="1:14" x14ac:dyDescent="0.15">
      <c r="A475" s="65"/>
      <c r="B475" s="65"/>
      <c r="C475" s="65"/>
      <c r="D475" s="67" t="s">
        <v>12</v>
      </c>
      <c r="E475" s="51">
        <v>20.190000000000001</v>
      </c>
      <c r="F475" s="51" t="s">
        <v>106</v>
      </c>
      <c r="G475" s="63">
        <v>5.0983333333333325E-2</v>
      </c>
      <c r="H475" s="64">
        <v>1.5E-3</v>
      </c>
      <c r="I475" s="94">
        <v>0</v>
      </c>
      <c r="J475" s="1" t="s">
        <v>223</v>
      </c>
      <c r="K475" s="66">
        <f t="shared" si="56"/>
        <v>7.4294205052005937E-5</v>
      </c>
      <c r="L475" s="66">
        <f t="shared" si="54"/>
        <v>7.4294205052005937E-5</v>
      </c>
      <c r="M475" s="22">
        <f t="shared" si="57"/>
        <v>1.8911816328265593E-2</v>
      </c>
    </row>
    <row r="476" spans="1:14" x14ac:dyDescent="0.15">
      <c r="A476" s="65"/>
      <c r="B476" s="65"/>
      <c r="C476" s="65"/>
      <c r="D476" s="67" t="s">
        <v>13</v>
      </c>
      <c r="E476" s="51">
        <v>27.7</v>
      </c>
      <c r="F476" s="51" t="s">
        <v>106</v>
      </c>
      <c r="G476" s="63">
        <v>2.92E-2</v>
      </c>
      <c r="H476" s="64">
        <v>3.3900000000000002E-3</v>
      </c>
      <c r="I476" s="94">
        <v>12</v>
      </c>
      <c r="J476" s="1" t="s">
        <v>223</v>
      </c>
      <c r="K476" s="66">
        <f t="shared" si="56"/>
        <v>1.1970831647969681E-4</v>
      </c>
      <c r="L476" s="66">
        <f t="shared" si="54"/>
        <v>1.2238267148014442E-4</v>
      </c>
      <c r="M476" s="22">
        <f t="shared" si="57"/>
        <v>9.7580834461553495E-3</v>
      </c>
    </row>
    <row r="477" spans="1:14" x14ac:dyDescent="0.15">
      <c r="A477" s="65"/>
      <c r="B477" s="65"/>
      <c r="C477" s="65"/>
      <c r="D477" s="26" t="s">
        <v>14</v>
      </c>
      <c r="E477" s="42">
        <v>278</v>
      </c>
      <c r="F477" s="51" t="s">
        <v>106</v>
      </c>
      <c r="G477" s="63">
        <v>6.4062499999999994E-2</v>
      </c>
      <c r="H477" s="64">
        <v>1.52E-2</v>
      </c>
      <c r="I477" s="94">
        <v>0</v>
      </c>
      <c r="J477" s="1" t="s">
        <v>223</v>
      </c>
      <c r="K477" s="66">
        <f t="shared" si="56"/>
        <v>5.4676258992805754E-5</v>
      </c>
      <c r="L477" s="66">
        <f t="shared" si="54"/>
        <v>5.4676258992805754E-5</v>
      </c>
      <c r="M477" s="22">
        <f t="shared" si="57"/>
        <v>1.0001591214792511E-2</v>
      </c>
    </row>
    <row r="478" spans="1:14" x14ac:dyDescent="0.15">
      <c r="A478" s="65"/>
      <c r="B478" s="65"/>
      <c r="C478" s="65"/>
      <c r="D478" s="26" t="s">
        <v>15</v>
      </c>
      <c r="E478" s="42">
        <v>7.7</v>
      </c>
      <c r="F478" s="51" t="s">
        <v>106</v>
      </c>
      <c r="G478" s="63">
        <v>2.6249999999999999E-2</v>
      </c>
      <c r="H478" s="64">
        <v>1.1250000000000001E-3</v>
      </c>
      <c r="I478" s="94">
        <v>20</v>
      </c>
      <c r="J478" s="1" t="s">
        <v>223</v>
      </c>
      <c r="K478" s="66">
        <f t="shared" si="56"/>
        <v>1.3729275303690222E-4</v>
      </c>
      <c r="L478" s="66">
        <f t="shared" si="54"/>
        <v>1.4610389610389613E-4</v>
      </c>
      <c r="M478" s="22">
        <f t="shared" si="57"/>
        <v>1.3384044392518703E-2</v>
      </c>
    </row>
    <row r="479" spans="1:14" x14ac:dyDescent="0.15">
      <c r="A479" s="65"/>
      <c r="B479" s="65"/>
      <c r="C479" s="65"/>
      <c r="D479" s="67" t="s">
        <v>14</v>
      </c>
      <c r="E479" s="51">
        <v>3.7</v>
      </c>
      <c r="F479" s="51" t="s">
        <v>106</v>
      </c>
      <c r="G479" s="63">
        <v>2.7792499999999998E-2</v>
      </c>
      <c r="H479" s="64">
        <v>5.9800000000000001E-4</v>
      </c>
      <c r="I479" s="94">
        <v>12</v>
      </c>
      <c r="J479" s="1" t="s">
        <v>222</v>
      </c>
      <c r="K479" s="66">
        <f t="shared" si="56"/>
        <v>1.5808980141589617E-4</v>
      </c>
      <c r="L479" s="66">
        <f t="shared" si="54"/>
        <v>1.6162162162162161E-4</v>
      </c>
      <c r="M479" s="22">
        <f t="shared" si="57"/>
        <v>1.8047666012675618E-2</v>
      </c>
    </row>
    <row r="480" spans="1:14" x14ac:dyDescent="0.15">
      <c r="D480" s="20" t="s">
        <v>24</v>
      </c>
      <c r="E480" s="21">
        <v>40</v>
      </c>
      <c r="F480" s="22" t="s">
        <v>109</v>
      </c>
      <c r="G480" s="3">
        <f>2.149*E480^(0.33)/100</f>
        <v>7.2596588510415866E-2</v>
      </c>
      <c r="H480" s="4">
        <f>0.091*E480/100</f>
        <v>3.6399999999999995E-2</v>
      </c>
      <c r="I480" s="83">
        <v>24</v>
      </c>
      <c r="J480" s="28" t="s">
        <v>20</v>
      </c>
      <c r="K480" s="9">
        <f t="shared" si="56"/>
        <v>8.3132636645476667E-4</v>
      </c>
      <c r="L480" s="9">
        <f t="shared" si="54"/>
        <v>9.0999999999999989E-4</v>
      </c>
      <c r="M480" s="22">
        <f t="shared" si="57"/>
        <v>2.1490000000000002E-2</v>
      </c>
    </row>
    <row r="481" spans="1:13" x14ac:dyDescent="0.15">
      <c r="D481" s="20" t="s">
        <v>25</v>
      </c>
      <c r="E481" s="21">
        <v>24.37</v>
      </c>
      <c r="F481" s="22" t="s">
        <v>109</v>
      </c>
      <c r="G481" s="3">
        <f>3.294*E481^(0.33)/100</f>
        <v>9.4490015333385635E-2</v>
      </c>
      <c r="H481" s="7">
        <f>0.072*E481/100</f>
        <v>1.75464E-2</v>
      </c>
      <c r="I481" s="88">
        <v>22</v>
      </c>
      <c r="J481" s="28" t="s">
        <v>20</v>
      </c>
      <c r="K481" s="9">
        <f t="shared" si="56"/>
        <v>6.6757237528808691E-4</v>
      </c>
      <c r="L481" s="9">
        <f t="shared" si="54"/>
        <v>7.1999999999999994E-4</v>
      </c>
      <c r="M481" s="22">
        <f t="shared" si="57"/>
        <v>3.2940000000000004E-2</v>
      </c>
    </row>
    <row r="482" spans="1:13" x14ac:dyDescent="0.15">
      <c r="D482" s="20" t="s">
        <v>27</v>
      </c>
      <c r="E482" s="21">
        <v>0.26500000000000001</v>
      </c>
      <c r="F482" s="22" t="s">
        <v>109</v>
      </c>
      <c r="G482" s="3">
        <f>2.995*E482^(0.33)/100</f>
        <v>1.9322706849897939E-2</v>
      </c>
      <c r="H482" s="4">
        <f>0.087*E482/100</f>
        <v>2.3054999999999999E-4</v>
      </c>
      <c r="I482" s="83">
        <v>10.667</v>
      </c>
      <c r="J482" s="28" t="s">
        <v>20</v>
      </c>
      <c r="K482" s="9">
        <f t="shared" si="56"/>
        <v>8.5496602577051829E-4</v>
      </c>
      <c r="L482" s="9">
        <f t="shared" si="54"/>
        <v>8.699999999999999E-4</v>
      </c>
      <c r="M482" s="22">
        <f t="shared" si="57"/>
        <v>2.9949999999999997E-2</v>
      </c>
    </row>
    <row r="483" spans="1:13" x14ac:dyDescent="0.15">
      <c r="D483" s="20" t="s">
        <v>28</v>
      </c>
      <c r="E483" s="21">
        <v>4.82</v>
      </c>
      <c r="F483" s="22" t="s">
        <v>109</v>
      </c>
      <c r="G483" s="3">
        <f>3.06*E483^(0.33)/100</f>
        <v>5.1419393421440106E-2</v>
      </c>
      <c r="H483" s="7">
        <f>0.093*E483/100</f>
        <v>4.4826000000000006E-3</v>
      </c>
      <c r="I483" s="88">
        <v>19.667000000000002</v>
      </c>
      <c r="J483" s="28" t="s">
        <v>20</v>
      </c>
      <c r="K483" s="9">
        <f t="shared" si="56"/>
        <v>8.757480236657642E-4</v>
      </c>
      <c r="L483" s="9">
        <f t="shared" si="54"/>
        <v>9.3000000000000005E-4</v>
      </c>
      <c r="M483" s="22">
        <f t="shared" si="57"/>
        <v>3.0599999999999999E-2</v>
      </c>
    </row>
    <row r="484" spans="1:13" x14ac:dyDescent="0.15">
      <c r="D484" s="20" t="s">
        <v>41</v>
      </c>
      <c r="E484" s="21">
        <v>9.7070000000000004E-2</v>
      </c>
      <c r="F484" s="22" t="s">
        <v>107</v>
      </c>
      <c r="G484" s="3">
        <v>3.7079999999999999E-3</v>
      </c>
      <c r="H484" s="4">
        <v>2.51E-5</v>
      </c>
      <c r="I484" s="83">
        <v>22</v>
      </c>
      <c r="J484" s="28" t="s">
        <v>43</v>
      </c>
      <c r="K484" s="9">
        <f t="shared" si="56"/>
        <v>2.3974775676961329E-4</v>
      </c>
      <c r="L484" s="9">
        <f t="shared" si="54"/>
        <v>2.5857628515504275E-4</v>
      </c>
      <c r="M484" s="22">
        <f t="shared" si="57"/>
        <v>8.0057433945864304E-3</v>
      </c>
    </row>
    <row r="485" spans="1:13" x14ac:dyDescent="0.15">
      <c r="D485" s="20" t="s">
        <v>41</v>
      </c>
      <c r="E485" s="21">
        <v>0.10265000000000001</v>
      </c>
      <c r="F485" s="22" t="s">
        <v>107</v>
      </c>
      <c r="G485" s="6">
        <v>6.2259999999999998E-3</v>
      </c>
      <c r="H485" s="7">
        <v>4.2200000000000003E-5</v>
      </c>
      <c r="I485" s="88">
        <v>16</v>
      </c>
      <c r="J485" s="28" t="s">
        <v>43</v>
      </c>
      <c r="K485" s="9">
        <f t="shared" si="56"/>
        <v>3.9518016140864163E-4</v>
      </c>
      <c r="L485" s="9">
        <f t="shared" si="54"/>
        <v>4.1110569897710665E-4</v>
      </c>
      <c r="M485" s="22">
        <f t="shared" si="57"/>
        <v>1.3196557719265544E-2</v>
      </c>
    </row>
    <row r="486" spans="1:13" x14ac:dyDescent="0.15">
      <c r="A486" s="10"/>
      <c r="D486" s="68" t="s">
        <v>111</v>
      </c>
      <c r="E486" s="51">
        <v>0.89984193999999995</v>
      </c>
      <c r="F486" s="51" t="s">
        <v>106</v>
      </c>
      <c r="G486" s="74"/>
      <c r="H486" s="76">
        <v>3.6257842094599996E-4</v>
      </c>
      <c r="I486" s="90">
        <f>AVERAGE(I473:I485)</f>
        <v>16.794923076923077</v>
      </c>
      <c r="J486" s="21" t="s">
        <v>206</v>
      </c>
      <c r="K486" s="77">
        <f t="shared" si="56"/>
        <v>3.8574849748160224E-4</v>
      </c>
      <c r="L486" s="77">
        <f t="shared" si="54"/>
        <v>4.0293567662116301E-4</v>
      </c>
      <c r="M486" s="9"/>
    </row>
    <row r="487" spans="1:13" x14ac:dyDescent="0.15">
      <c r="I487" s="85"/>
    </row>
    <row r="488" spans="1:13" x14ac:dyDescent="0.15">
      <c r="I488" s="85"/>
    </row>
    <row r="489" spans="1:13" x14ac:dyDescent="0.15">
      <c r="A489" s="47" t="s">
        <v>116</v>
      </c>
      <c r="B489" s="48" t="s">
        <v>102</v>
      </c>
      <c r="C489" s="48" t="s">
        <v>101</v>
      </c>
      <c r="D489" s="20" t="s">
        <v>8</v>
      </c>
      <c r="E489" s="1">
        <v>17.100000000000001</v>
      </c>
      <c r="F489" s="1" t="s">
        <v>105</v>
      </c>
      <c r="G489" s="40">
        <v>2.1500000000000002E-2</v>
      </c>
      <c r="H489" s="41">
        <v>5.0600000000000003E-3</v>
      </c>
      <c r="I489" s="82">
        <v>26</v>
      </c>
      <c r="J489" s="1" t="s">
        <v>223</v>
      </c>
      <c r="K489" s="1">
        <f t="shared" ref="K489:K506" si="58">H489*COS(RADIANS(I489))/E489</f>
        <v>2.6595894001601084E-4</v>
      </c>
      <c r="L489" s="1">
        <f t="shared" si="54"/>
        <v>2.9590643274853798E-4</v>
      </c>
      <c r="M489" s="22">
        <f t="shared" ref="M489:M505" si="59">G489/(E489^0.33)</f>
        <v>8.4246088021046883E-3</v>
      </c>
    </row>
    <row r="490" spans="1:13" x14ac:dyDescent="0.15">
      <c r="D490" s="20" t="s">
        <v>11</v>
      </c>
      <c r="E490" s="1">
        <v>90</v>
      </c>
      <c r="F490" s="1" t="s">
        <v>105</v>
      </c>
      <c r="G490" s="3">
        <v>1.6399999999999998E-2</v>
      </c>
      <c r="H490" s="4">
        <v>2.7000000000000001E-3</v>
      </c>
      <c r="I490" s="83">
        <v>42</v>
      </c>
      <c r="J490" s="1" t="s">
        <v>223</v>
      </c>
      <c r="K490" s="55">
        <f t="shared" si="58"/>
        <v>2.2294344764321831E-5</v>
      </c>
      <c r="L490" s="55">
        <f t="shared" si="54"/>
        <v>3.0000000000000001E-5</v>
      </c>
      <c r="M490" s="22">
        <f t="shared" si="59"/>
        <v>3.7148717063674036E-3</v>
      </c>
    </row>
    <row r="491" spans="1:13" x14ac:dyDescent="0.15">
      <c r="D491" s="20" t="s">
        <v>12</v>
      </c>
      <c r="E491" s="1">
        <v>20.190000000000001</v>
      </c>
      <c r="F491" s="1" t="s">
        <v>105</v>
      </c>
      <c r="G491" s="3">
        <v>4.300000000000001E-2</v>
      </c>
      <c r="H491" s="4">
        <v>3.2000000000000002E-3</v>
      </c>
      <c r="I491" s="84">
        <v>0</v>
      </c>
      <c r="J491" s="1" t="s">
        <v>223</v>
      </c>
      <c r="K491" s="1">
        <f t="shared" si="58"/>
        <v>1.58494304110946E-4</v>
      </c>
      <c r="L491" s="1">
        <f t="shared" si="54"/>
        <v>1.58494304110946E-4</v>
      </c>
      <c r="M491" s="22">
        <f t="shared" si="59"/>
        <v>1.5950469475948102E-2</v>
      </c>
    </row>
    <row r="492" spans="1:13" x14ac:dyDescent="0.15">
      <c r="D492" s="20" t="s">
        <v>13</v>
      </c>
      <c r="E492" s="1">
        <v>27.7</v>
      </c>
      <c r="F492" s="1" t="s">
        <v>105</v>
      </c>
      <c r="G492" s="3">
        <v>3.2799999999999996E-2</v>
      </c>
      <c r="H492" s="4">
        <v>7.4099999999999999E-3</v>
      </c>
      <c r="I492" s="83">
        <v>26.25</v>
      </c>
      <c r="J492" s="1" t="s">
        <v>223</v>
      </c>
      <c r="K492" s="1">
        <f t="shared" si="58"/>
        <v>2.3992155287932203E-4</v>
      </c>
      <c r="L492" s="1">
        <f t="shared" si="54"/>
        <v>2.6750902527075812E-4</v>
      </c>
      <c r="M492" s="22">
        <f t="shared" si="59"/>
        <v>1.0961134829927924E-2</v>
      </c>
    </row>
    <row r="493" spans="1:13" x14ac:dyDescent="0.15">
      <c r="D493" s="26" t="s">
        <v>14</v>
      </c>
      <c r="E493" s="42">
        <v>278</v>
      </c>
      <c r="F493" s="1" t="s">
        <v>105</v>
      </c>
      <c r="G493" s="3">
        <v>3.8199999999999998E-2</v>
      </c>
      <c r="H493" s="4">
        <v>3.9199999999999999E-2</v>
      </c>
      <c r="I493" s="83">
        <v>41.5</v>
      </c>
      <c r="J493" s="1" t="s">
        <v>223</v>
      </c>
      <c r="K493" s="1">
        <f t="shared" si="58"/>
        <v>1.0560814480190247E-4</v>
      </c>
      <c r="L493" s="1">
        <f t="shared" si="54"/>
        <v>1.410071942446043E-4</v>
      </c>
      <c r="M493" s="22">
        <f t="shared" si="59"/>
        <v>5.9638756590060325E-3</v>
      </c>
    </row>
    <row r="494" spans="1:13" x14ac:dyDescent="0.15">
      <c r="D494" s="26" t="s">
        <v>15</v>
      </c>
      <c r="E494" s="42">
        <v>7.7</v>
      </c>
      <c r="F494" s="1" t="s">
        <v>105</v>
      </c>
      <c r="G494" s="3">
        <v>4.2000000000000003E-2</v>
      </c>
      <c r="H494" s="4">
        <v>1.6440000000000001E-3</v>
      </c>
      <c r="I494" s="83">
        <v>30</v>
      </c>
      <c r="J494" s="1" t="s">
        <v>223</v>
      </c>
      <c r="K494" s="1">
        <f t="shared" si="58"/>
        <v>1.8490204724956068E-4</v>
      </c>
      <c r="L494" s="1">
        <f t="shared" si="54"/>
        <v>2.1350649350649351E-4</v>
      </c>
      <c r="M494" s="22">
        <f t="shared" si="59"/>
        <v>2.1414471028029926E-2</v>
      </c>
    </row>
    <row r="495" spans="1:13" x14ac:dyDescent="0.15">
      <c r="D495" s="20" t="s">
        <v>14</v>
      </c>
      <c r="E495" s="1">
        <v>3.7</v>
      </c>
      <c r="F495" s="1" t="s">
        <v>105</v>
      </c>
      <c r="G495" s="40">
        <v>1.7017000000000001E-2</v>
      </c>
      <c r="H495" s="41">
        <v>9.8419999999999996E-4</v>
      </c>
      <c r="I495" s="82">
        <v>22.33333</v>
      </c>
      <c r="J495" s="1" t="s">
        <v>222</v>
      </c>
      <c r="K495" s="1">
        <f t="shared" si="58"/>
        <v>2.4604702752591378E-4</v>
      </c>
      <c r="L495" s="1">
        <f t="shared" si="54"/>
        <v>2.6599999999999996E-4</v>
      </c>
      <c r="M495" s="22">
        <f t="shared" si="59"/>
        <v>1.1050360080514564E-2</v>
      </c>
    </row>
    <row r="496" spans="1:13" x14ac:dyDescent="0.15">
      <c r="D496" s="20" t="s">
        <v>23</v>
      </c>
      <c r="E496" s="21">
        <v>0.443</v>
      </c>
      <c r="F496" s="22" t="s">
        <v>110</v>
      </c>
      <c r="G496" s="3">
        <f>2.659*E496^(0.33)/100</f>
        <v>2.032504739535048E-2</v>
      </c>
      <c r="H496" s="4">
        <f>0.111*E496/100</f>
        <v>4.9173000000000001E-4</v>
      </c>
      <c r="I496" s="83">
        <v>11.667</v>
      </c>
      <c r="J496" s="28" t="s">
        <v>20</v>
      </c>
      <c r="K496" s="9">
        <f t="shared" si="58"/>
        <v>1.0870667842772619E-3</v>
      </c>
      <c r="L496" s="9">
        <f t="shared" si="54"/>
        <v>1.1100000000000001E-3</v>
      </c>
      <c r="M496" s="22">
        <f t="shared" si="59"/>
        <v>2.6589999999999996E-2</v>
      </c>
    </row>
    <row r="497" spans="1:13" x14ac:dyDescent="0.15">
      <c r="D497" s="20" t="s">
        <v>24</v>
      </c>
      <c r="E497" s="21">
        <v>36.667000000000002</v>
      </c>
      <c r="F497" s="22" t="s">
        <v>110</v>
      </c>
      <c r="G497" s="3">
        <f>2.308*E497^(0.33)/100</f>
        <v>7.5761171122242857E-2</v>
      </c>
      <c r="H497" s="7">
        <f>0.087*E497/100</f>
        <v>3.1900289999999998E-2</v>
      </c>
      <c r="I497" s="88">
        <v>17.556000000000001</v>
      </c>
      <c r="J497" s="28" t="s">
        <v>20</v>
      </c>
      <c r="K497" s="9">
        <f t="shared" si="58"/>
        <v>8.2947765339555794E-4</v>
      </c>
      <c r="L497" s="9">
        <f t="shared" si="54"/>
        <v>8.699999999999999E-4</v>
      </c>
      <c r="M497" s="22">
        <f t="shared" si="59"/>
        <v>2.3079999999999996E-2</v>
      </c>
    </row>
    <row r="498" spans="1:13" x14ac:dyDescent="0.15">
      <c r="D498" s="20" t="s">
        <v>25</v>
      </c>
      <c r="E498" s="21">
        <v>1.381</v>
      </c>
      <c r="F498" s="22" t="s">
        <v>110</v>
      </c>
      <c r="G498" s="3">
        <f>3.02*E498^(0.33)/100</f>
        <v>3.359470693763638E-2</v>
      </c>
      <c r="H498" s="4">
        <f>0.142*E498/100</f>
        <v>1.9610199999999995E-3</v>
      </c>
      <c r="I498" s="83">
        <v>15.333</v>
      </c>
      <c r="J498" s="28" t="s">
        <v>20</v>
      </c>
      <c r="K498" s="9">
        <f t="shared" si="58"/>
        <v>1.3694554954901809E-3</v>
      </c>
      <c r="L498" s="9">
        <f t="shared" si="54"/>
        <v>1.4199999999999996E-3</v>
      </c>
      <c r="M498" s="22">
        <f t="shared" si="59"/>
        <v>3.0200000000000001E-2</v>
      </c>
    </row>
    <row r="499" spans="1:13" x14ac:dyDescent="0.15">
      <c r="D499" s="20" t="s">
        <v>26</v>
      </c>
      <c r="E499" s="21">
        <v>0.158</v>
      </c>
      <c r="F499" s="22" t="s">
        <v>110</v>
      </c>
      <c r="G499" s="3">
        <f>2.449*E499^(0.33)/100</f>
        <v>1.3321269785345858E-2</v>
      </c>
      <c r="H499" s="7">
        <f>0.076*E499/100</f>
        <v>1.2008E-4</v>
      </c>
      <c r="I499" s="88">
        <v>12.333</v>
      </c>
      <c r="J499" s="28" t="s">
        <v>20</v>
      </c>
      <c r="K499" s="9">
        <f t="shared" si="58"/>
        <v>7.4246126392502553E-4</v>
      </c>
      <c r="L499" s="9">
        <f t="shared" si="54"/>
        <v>7.6000000000000004E-4</v>
      </c>
      <c r="M499" s="22">
        <f t="shared" si="59"/>
        <v>2.4490000000000001E-2</v>
      </c>
    </row>
    <row r="500" spans="1:13" x14ac:dyDescent="0.15">
      <c r="D500" s="20" t="s">
        <v>27</v>
      </c>
      <c r="E500" s="21">
        <v>0.158</v>
      </c>
      <c r="F500" s="22" t="s">
        <v>110</v>
      </c>
      <c r="G500" s="3">
        <f>2.956*E500^(0.33)/100</f>
        <v>1.6079082680882956E-2</v>
      </c>
      <c r="H500" s="4">
        <f>0.122*E500/100</f>
        <v>1.9276000000000002E-4</v>
      </c>
      <c r="I500" s="83">
        <v>13.555999999999999</v>
      </c>
      <c r="J500" s="28" t="s">
        <v>20</v>
      </c>
      <c r="K500" s="9">
        <f t="shared" si="58"/>
        <v>1.1860123739691943E-3</v>
      </c>
      <c r="L500" s="9">
        <f t="shared" si="54"/>
        <v>1.2200000000000002E-3</v>
      </c>
      <c r="M500" s="22">
        <f t="shared" si="59"/>
        <v>2.9560000000000003E-2</v>
      </c>
    </row>
    <row r="501" spans="1:13" x14ac:dyDescent="0.15">
      <c r="D501" s="20" t="s">
        <v>28</v>
      </c>
      <c r="E501" s="21">
        <v>2.6230000000000002</v>
      </c>
      <c r="F501" s="22" t="s">
        <v>110</v>
      </c>
      <c r="G501" s="3">
        <f>2.277*E501^(0.33)/100</f>
        <v>3.1301594895245734E-2</v>
      </c>
      <c r="H501" s="7">
        <f>0.102*E501/100</f>
        <v>2.6754600000000002E-3</v>
      </c>
      <c r="I501" s="88">
        <v>14.917</v>
      </c>
      <c r="J501" s="28" t="s">
        <v>20</v>
      </c>
      <c r="K501" s="9">
        <f t="shared" si="58"/>
        <v>9.8562573882871583E-4</v>
      </c>
      <c r="L501" s="9">
        <f t="shared" si="54"/>
        <v>1.0200000000000001E-3</v>
      </c>
      <c r="M501" s="22">
        <f t="shared" si="59"/>
        <v>2.2770000000000002E-2</v>
      </c>
    </row>
    <row r="502" spans="1:13" x14ac:dyDescent="0.15">
      <c r="D502" s="20" t="s">
        <v>41</v>
      </c>
      <c r="E502" s="21">
        <v>9.7070000000000004E-2</v>
      </c>
      <c r="F502" s="22" t="s">
        <v>108</v>
      </c>
      <c r="G502" s="3">
        <v>4.7920000000000003E-3</v>
      </c>
      <c r="H502" s="4">
        <v>3.5299999999999997E-5</v>
      </c>
      <c r="I502" s="83">
        <v>17</v>
      </c>
      <c r="J502" s="28" t="s">
        <v>43</v>
      </c>
      <c r="K502" s="9">
        <f t="shared" si="58"/>
        <v>3.4776509617281493E-4</v>
      </c>
      <c r="L502" s="9">
        <f t="shared" si="54"/>
        <v>3.6365509426187283E-4</v>
      </c>
      <c r="M502" s="22">
        <f t="shared" si="59"/>
        <v>1.0346149500231439E-2</v>
      </c>
    </row>
    <row r="503" spans="1:13" x14ac:dyDescent="0.15">
      <c r="D503" s="20" t="s">
        <v>41</v>
      </c>
      <c r="E503" s="21">
        <v>0.10265000000000001</v>
      </c>
      <c r="F503" s="22" t="s">
        <v>108</v>
      </c>
      <c r="G503" s="6">
        <v>6.8349999999999999E-3</v>
      </c>
      <c r="H503" s="7">
        <v>7.1600000000000006E-5</v>
      </c>
      <c r="I503" s="88">
        <v>10</v>
      </c>
      <c r="J503" s="28" t="s">
        <v>43</v>
      </c>
      <c r="K503" s="9">
        <f t="shared" si="58"/>
        <v>6.8691899771723425E-4</v>
      </c>
      <c r="L503" s="9">
        <f t="shared" si="54"/>
        <v>6.9751583049196297E-4</v>
      </c>
      <c r="M503" s="22">
        <f t="shared" si="59"/>
        <v>1.4487387088207517E-2</v>
      </c>
    </row>
    <row r="504" spans="1:13" x14ac:dyDescent="0.15">
      <c r="D504" s="20" t="s">
        <v>42</v>
      </c>
      <c r="E504" s="21">
        <v>5.7000000000000002E-2</v>
      </c>
      <c r="F504" s="22" t="s">
        <v>108</v>
      </c>
      <c r="G504" s="3">
        <v>3.6670000000000001E-3</v>
      </c>
      <c r="H504" s="4">
        <v>3.0899999999999999E-5</v>
      </c>
      <c r="I504" s="114">
        <v>16</v>
      </c>
      <c r="J504" s="28" t="s">
        <v>43</v>
      </c>
      <c r="K504" s="9">
        <f t="shared" si="58"/>
        <v>5.2110502464024655E-4</v>
      </c>
      <c r="L504" s="9">
        <f t="shared" si="54"/>
        <v>5.4210526315789465E-4</v>
      </c>
      <c r="M504" s="22">
        <f t="shared" si="59"/>
        <v>9.4378312450070917E-3</v>
      </c>
    </row>
    <row r="505" spans="1:13" x14ac:dyDescent="0.15">
      <c r="D505" s="20" t="s">
        <v>42</v>
      </c>
      <c r="E505" s="21">
        <v>5.1700000000000003E-2</v>
      </c>
      <c r="F505" s="22" t="s">
        <v>108</v>
      </c>
      <c r="G505" s="6">
        <v>4.5880000000000001E-3</v>
      </c>
      <c r="H505" s="7">
        <v>2.5700000000000001E-5</v>
      </c>
      <c r="I505" s="88">
        <v>8</v>
      </c>
      <c r="J505" s="28" t="s">
        <v>43</v>
      </c>
      <c r="K505" s="9">
        <f t="shared" si="58"/>
        <v>4.922609161829469E-4</v>
      </c>
      <c r="L505" s="9">
        <f t="shared" si="54"/>
        <v>4.9709864603481621E-4</v>
      </c>
      <c r="M505" s="22">
        <f t="shared" si="59"/>
        <v>1.2194711491219912E-2</v>
      </c>
    </row>
    <row r="506" spans="1:13" x14ac:dyDescent="0.15">
      <c r="A506" s="10"/>
      <c r="D506" s="68" t="s">
        <v>111</v>
      </c>
      <c r="E506" s="51">
        <v>0.89984193999999995</v>
      </c>
      <c r="F506" s="51" t="s">
        <v>105</v>
      </c>
      <c r="G506" s="74"/>
      <c r="H506" s="76">
        <v>1.0696937000000001E-3</v>
      </c>
      <c r="I506" s="90">
        <f>AVERAGE(I489:I505)</f>
        <v>19.085019411764705</v>
      </c>
      <c r="J506" s="21" t="s">
        <v>206</v>
      </c>
      <c r="K506" s="77">
        <f t="shared" si="58"/>
        <v>1.1234166089275142E-3</v>
      </c>
      <c r="L506" s="77">
        <f t="shared" si="54"/>
        <v>1.1887573277591396E-3</v>
      </c>
      <c r="M506" s="9"/>
    </row>
    <row r="507" spans="1:13" x14ac:dyDescent="0.15">
      <c r="A507" s="10"/>
      <c r="D507" s="68"/>
      <c r="E507" s="51"/>
      <c r="F507" s="51"/>
      <c r="G507" s="74"/>
      <c r="H507" s="113"/>
      <c r="I507" s="90"/>
      <c r="J507" s="98"/>
      <c r="K507" s="9"/>
      <c r="L507" s="9"/>
      <c r="M507" s="9"/>
    </row>
    <row r="508" spans="1:13" x14ac:dyDescent="0.15">
      <c r="I508" s="85"/>
    </row>
    <row r="509" spans="1:13" x14ac:dyDescent="0.15">
      <c r="A509" s="112" t="s">
        <v>196</v>
      </c>
      <c r="B509" s="49" t="s">
        <v>102</v>
      </c>
      <c r="C509" s="49" t="s">
        <v>101</v>
      </c>
      <c r="D509" s="20" t="s">
        <v>8</v>
      </c>
      <c r="E509" s="1">
        <v>17.100000000000001</v>
      </c>
      <c r="F509" s="1" t="s">
        <v>195</v>
      </c>
      <c r="G509" s="85">
        <v>1.35E-2</v>
      </c>
      <c r="H509" s="111">
        <v>1.9399999999999999E-3</v>
      </c>
      <c r="I509" s="115">
        <v>18.75</v>
      </c>
      <c r="J509" s="1" t="s">
        <v>223</v>
      </c>
      <c r="K509" s="1">
        <f t="shared" ref="K509:K516" si="60">H509*COS(RADIANS(I509))/E509</f>
        <v>1.0742950007137455E-4</v>
      </c>
      <c r="L509" s="1">
        <f t="shared" si="54"/>
        <v>1.134502923976608E-4</v>
      </c>
      <c r="M509" s="22">
        <f t="shared" ref="M509:M515" si="61">G509/(E509^0.33)</f>
        <v>5.2898706431820132E-3</v>
      </c>
    </row>
    <row r="510" spans="1:13" x14ac:dyDescent="0.15">
      <c r="D510" s="20" t="s">
        <v>11</v>
      </c>
      <c r="E510" s="1">
        <v>90</v>
      </c>
      <c r="F510" s="1" t="s">
        <v>195</v>
      </c>
      <c r="G510" s="85">
        <v>2.7E-2</v>
      </c>
      <c r="H510" s="111">
        <v>6.8300000000000001E-3</v>
      </c>
      <c r="I510" s="116">
        <v>0</v>
      </c>
      <c r="J510" s="1" t="s">
        <v>223</v>
      </c>
      <c r="K510" s="1">
        <f t="shared" si="60"/>
        <v>7.5888888888888889E-5</v>
      </c>
      <c r="L510" s="1">
        <f t="shared" si="54"/>
        <v>7.5888888888888889E-5</v>
      </c>
      <c r="M510" s="22">
        <f t="shared" si="61"/>
        <v>6.1159473214585309E-3</v>
      </c>
    </row>
    <row r="511" spans="1:13" x14ac:dyDescent="0.15">
      <c r="D511" s="20" t="s">
        <v>12</v>
      </c>
      <c r="E511" s="1">
        <v>20.190000000000001</v>
      </c>
      <c r="F511" s="1" t="s">
        <v>195</v>
      </c>
      <c r="G511" s="85">
        <v>8.0000000000000002E-3</v>
      </c>
      <c r="H511" s="111">
        <v>2.3E-3</v>
      </c>
      <c r="I511" s="116">
        <v>33</v>
      </c>
      <c r="J511" s="1" t="s">
        <v>223</v>
      </c>
      <c r="K511" s="1">
        <f t="shared" si="60"/>
        <v>9.5539490157230079E-5</v>
      </c>
      <c r="L511" s="1">
        <f t="shared" si="54"/>
        <v>1.1391778107974244E-4</v>
      </c>
      <c r="M511" s="22">
        <f t="shared" si="61"/>
        <v>2.9675292048275534E-3</v>
      </c>
    </row>
    <row r="512" spans="1:13" x14ac:dyDescent="0.15">
      <c r="D512" s="20" t="s">
        <v>13</v>
      </c>
      <c r="E512" s="1">
        <v>27.7</v>
      </c>
      <c r="F512" s="1" t="s">
        <v>195</v>
      </c>
      <c r="G512" s="85">
        <v>2.4857142857142859E-2</v>
      </c>
      <c r="H512" s="111">
        <v>4.0999999999999995E-3</v>
      </c>
      <c r="I512" s="115">
        <v>23</v>
      </c>
      <c r="J512" s="1" t="s">
        <v>223</v>
      </c>
      <c r="K512" s="1">
        <f t="shared" si="60"/>
        <v>1.3624801079981967E-4</v>
      </c>
      <c r="L512" s="1">
        <f t="shared" si="54"/>
        <v>1.4801444043321298E-4</v>
      </c>
      <c r="M512" s="22">
        <f t="shared" si="61"/>
        <v>8.3067833641439857E-3</v>
      </c>
    </row>
    <row r="513" spans="1:13" x14ac:dyDescent="0.15">
      <c r="D513" s="26" t="s">
        <v>14</v>
      </c>
      <c r="E513" s="42">
        <v>278</v>
      </c>
      <c r="F513" s="1" t="s">
        <v>195</v>
      </c>
      <c r="G513" s="85">
        <v>1.35E-2</v>
      </c>
      <c r="H513" s="111">
        <v>2.3600000000000003E-2</v>
      </c>
      <c r="I513" s="116">
        <v>34</v>
      </c>
      <c r="J513" s="1" t="s">
        <v>223</v>
      </c>
      <c r="K513" s="42">
        <f t="shared" si="60"/>
        <v>7.0378729180931601E-5</v>
      </c>
      <c r="L513" s="42">
        <f t="shared" si="54"/>
        <v>8.4892086330935266E-5</v>
      </c>
      <c r="M513" s="22">
        <f t="shared" si="61"/>
        <v>2.1076523925806661E-3</v>
      </c>
    </row>
    <row r="514" spans="1:13" x14ac:dyDescent="0.15">
      <c r="D514" s="26" t="s">
        <v>15</v>
      </c>
      <c r="E514" s="42">
        <v>7.7</v>
      </c>
      <c r="F514" s="1" t="s">
        <v>195</v>
      </c>
      <c r="G514" s="85">
        <v>1.84E-2</v>
      </c>
      <c r="H514" s="111">
        <v>1.6980000000000001E-3</v>
      </c>
      <c r="I514" s="116">
        <v>25</v>
      </c>
      <c r="J514" s="1" t="s">
        <v>223</v>
      </c>
      <c r="K514" s="42">
        <f t="shared" si="60"/>
        <v>1.9985852238808201E-4</v>
      </c>
      <c r="L514" s="42">
        <f t="shared" si="54"/>
        <v>2.2051948051948054E-4</v>
      </c>
      <c r="M514" s="22">
        <f t="shared" si="61"/>
        <v>9.3815777837083468E-3</v>
      </c>
    </row>
    <row r="515" spans="1:13" x14ac:dyDescent="0.15">
      <c r="D515" s="20" t="s">
        <v>14</v>
      </c>
      <c r="E515" s="1">
        <v>3.7</v>
      </c>
      <c r="F515" s="1" t="s">
        <v>195</v>
      </c>
      <c r="G515" s="21">
        <v>1.0483333333333332E-2</v>
      </c>
      <c r="H515" s="21">
        <v>3.4089999999999999E-4</v>
      </c>
      <c r="I515" s="116">
        <v>22.333333329999999</v>
      </c>
      <c r="J515" s="1" t="s">
        <v>222</v>
      </c>
      <c r="K515" s="1">
        <f t="shared" si="60"/>
        <v>8.5223968381348695E-5</v>
      </c>
      <c r="L515" s="1">
        <f t="shared" si="54"/>
        <v>9.2135135135135122E-5</v>
      </c>
      <c r="M515" s="22">
        <f t="shared" si="61"/>
        <v>6.807581135182132E-3</v>
      </c>
    </row>
    <row r="516" spans="1:13" x14ac:dyDescent="0.15">
      <c r="D516" s="68" t="s">
        <v>111</v>
      </c>
      <c r="E516" s="51">
        <v>0.89984193999999995</v>
      </c>
      <c r="F516" s="51" t="s">
        <v>195</v>
      </c>
      <c r="H516" s="69">
        <f>0.448363/100/100/100*1060</f>
        <v>4.7526477999999995E-4</v>
      </c>
      <c r="I516" s="85">
        <f>AVERAGE(I509:I515)</f>
        <v>22.297619047142856</v>
      </c>
      <c r="J516" s="21" t="s">
        <v>206</v>
      </c>
      <c r="K516" s="102">
        <f t="shared" si="60"/>
        <v>4.8867147388678494E-4</v>
      </c>
      <c r="L516" s="102">
        <f t="shared" si="54"/>
        <v>5.2816473524228038E-4</v>
      </c>
    </row>
    <row r="519" spans="1:13" x14ac:dyDescent="0.15">
      <c r="A519" s="47" t="s">
        <v>117</v>
      </c>
      <c r="B519" s="49" t="s">
        <v>118</v>
      </c>
      <c r="C519" s="49" t="s">
        <v>101</v>
      </c>
      <c r="D519" s="20" t="s">
        <v>8</v>
      </c>
      <c r="E519" s="1">
        <v>17.100000000000001</v>
      </c>
      <c r="F519" s="1" t="s">
        <v>117</v>
      </c>
      <c r="G519" s="40">
        <v>2.1125000000000001E-2</v>
      </c>
      <c r="H519" s="41">
        <v>1.112E-2</v>
      </c>
      <c r="I519" s="82">
        <v>34.4</v>
      </c>
      <c r="J519" s="1" t="s">
        <v>223</v>
      </c>
      <c r="K519" s="1">
        <f t="shared" ref="K519:K534" si="62">H519*COS(RADIANS(I519))/E519</f>
        <v>5.3656503513769833E-4</v>
      </c>
      <c r="L519" s="1">
        <f t="shared" ref="L519:L581" si="63">H519/E519</f>
        <v>6.5029239766081868E-4</v>
      </c>
      <c r="M519" s="22">
        <f t="shared" ref="M519:M533" si="64">G519/(E519^0.33)</f>
        <v>8.2776679509051886E-3</v>
      </c>
    </row>
    <row r="520" spans="1:13" x14ac:dyDescent="0.15">
      <c r="D520" s="20" t="s">
        <v>11</v>
      </c>
      <c r="E520" s="1">
        <v>90</v>
      </c>
      <c r="F520" s="1" t="s">
        <v>117</v>
      </c>
      <c r="G520" s="3">
        <v>0.03</v>
      </c>
      <c r="H520" s="4">
        <v>3.2379999999999999E-2</v>
      </c>
      <c r="I520" s="83">
        <v>20.833333333333332</v>
      </c>
      <c r="J520" s="1" t="s">
        <v>223</v>
      </c>
      <c r="K520" s="1">
        <f t="shared" si="62"/>
        <v>3.3625512003111378E-4</v>
      </c>
      <c r="L520" s="1">
        <f t="shared" si="63"/>
        <v>3.5977777777777776E-4</v>
      </c>
      <c r="M520" s="22">
        <f t="shared" si="64"/>
        <v>6.7954970238428124E-3</v>
      </c>
    </row>
    <row r="521" spans="1:13" x14ac:dyDescent="0.15">
      <c r="D521" s="20" t="s">
        <v>12</v>
      </c>
      <c r="E521" s="1">
        <v>20.190000000000001</v>
      </c>
      <c r="F521" s="1" t="s">
        <v>117</v>
      </c>
      <c r="G521" s="3">
        <v>9.0799999999999995E-3</v>
      </c>
      <c r="H521" s="4">
        <v>1.37E-2</v>
      </c>
      <c r="I521" s="84">
        <v>17</v>
      </c>
      <c r="J521" s="1" t="s">
        <v>223</v>
      </c>
      <c r="K521" s="1">
        <f t="shared" si="62"/>
        <v>6.4890416823643309E-4</v>
      </c>
      <c r="L521" s="1">
        <f t="shared" si="63"/>
        <v>6.7855373947498757E-4</v>
      </c>
      <c r="M521" s="22">
        <f t="shared" si="64"/>
        <v>3.3681456474792728E-3</v>
      </c>
    </row>
    <row r="522" spans="1:13" x14ac:dyDescent="0.15">
      <c r="D522" s="20" t="s">
        <v>13</v>
      </c>
      <c r="E522" s="1">
        <v>27.7</v>
      </c>
      <c r="F522" s="1" t="s">
        <v>117</v>
      </c>
      <c r="G522" s="3">
        <v>3.1E-2</v>
      </c>
      <c r="H522" s="4">
        <v>1.3950000000000001E-2</v>
      </c>
      <c r="I522" s="83">
        <v>25</v>
      </c>
      <c r="J522" s="1" t="s">
        <v>223</v>
      </c>
      <c r="K522" s="1">
        <f t="shared" si="62"/>
        <v>4.5642576278560529E-4</v>
      </c>
      <c r="L522" s="1">
        <f t="shared" si="63"/>
        <v>5.0361010830324911E-4</v>
      </c>
      <c r="M522" s="22">
        <f t="shared" si="64"/>
        <v>1.0359609138041638E-2</v>
      </c>
    </row>
    <row r="523" spans="1:13" x14ac:dyDescent="0.15">
      <c r="D523" s="26" t="s">
        <v>14</v>
      </c>
      <c r="E523" s="42">
        <v>278</v>
      </c>
      <c r="F523" s="1" t="s">
        <v>117</v>
      </c>
      <c r="G523" s="3">
        <v>7.0999999999999994E-2</v>
      </c>
      <c r="H523" s="4">
        <v>0.10879999999999999</v>
      </c>
      <c r="I523" s="83">
        <v>21</v>
      </c>
      <c r="J523" s="1" t="s">
        <v>223</v>
      </c>
      <c r="K523" s="1">
        <f t="shared" si="62"/>
        <v>3.6537248346365305E-4</v>
      </c>
      <c r="L523" s="1">
        <f t="shared" si="63"/>
        <v>3.913669064748201E-4</v>
      </c>
      <c r="M523" s="22">
        <f t="shared" si="64"/>
        <v>1.1084690360979798E-2</v>
      </c>
    </row>
    <row r="524" spans="1:13" x14ac:dyDescent="0.15">
      <c r="D524" s="26" t="s">
        <v>15</v>
      </c>
      <c r="E524" s="42">
        <v>7.7</v>
      </c>
      <c r="F524" s="1" t="s">
        <v>117</v>
      </c>
      <c r="G524" s="3">
        <v>2.46E-2</v>
      </c>
      <c r="H524" s="4">
        <v>3.0969999999999999E-3</v>
      </c>
      <c r="I524" s="83">
        <v>15</v>
      </c>
      <c r="J524" s="1" t="s">
        <v>223</v>
      </c>
      <c r="K524" s="1">
        <f t="shared" si="62"/>
        <v>3.8850289402821354E-4</v>
      </c>
      <c r="L524" s="1">
        <f t="shared" si="63"/>
        <v>4.0220779220779217E-4</v>
      </c>
      <c r="M524" s="22">
        <f t="shared" si="64"/>
        <v>1.2542761602131813E-2</v>
      </c>
    </row>
    <row r="525" spans="1:13" x14ac:dyDescent="0.15">
      <c r="D525" s="20" t="s">
        <v>14</v>
      </c>
      <c r="E525" s="1">
        <v>3.7</v>
      </c>
      <c r="F525" s="1" t="s">
        <v>117</v>
      </c>
      <c r="G525" s="40">
        <v>1.6722999999999998E-2</v>
      </c>
      <c r="H525" s="41">
        <v>2.7472999999999998E-3</v>
      </c>
      <c r="I525" s="82">
        <v>25.33333</v>
      </c>
      <c r="J525" s="1" t="s">
        <v>222</v>
      </c>
      <c r="K525" s="1">
        <f t="shared" si="62"/>
        <v>6.7110880664022761E-4</v>
      </c>
      <c r="L525" s="1">
        <f t="shared" si="63"/>
        <v>7.4251351351351338E-4</v>
      </c>
      <c r="M525" s="22">
        <f t="shared" si="64"/>
        <v>1.0859444768551744E-2</v>
      </c>
    </row>
    <row r="526" spans="1:13" x14ac:dyDescent="0.15">
      <c r="D526" s="20" t="s">
        <v>24</v>
      </c>
      <c r="E526" s="21">
        <v>40</v>
      </c>
      <c r="F526" s="1" t="s">
        <v>117</v>
      </c>
      <c r="G526" s="3">
        <f>3.065*E526^(0.33)/100</f>
        <v>0.10354050432034649</v>
      </c>
      <c r="H526" s="4">
        <f>0.136*E526/100</f>
        <v>5.4400000000000004E-2</v>
      </c>
      <c r="I526" s="83">
        <v>0</v>
      </c>
      <c r="J526" s="28" t="s">
        <v>20</v>
      </c>
      <c r="K526" s="1">
        <f t="shared" si="62"/>
        <v>1.3600000000000001E-3</v>
      </c>
      <c r="L526" s="1">
        <f t="shared" si="63"/>
        <v>1.3600000000000001E-3</v>
      </c>
      <c r="M526" s="22">
        <f t="shared" si="64"/>
        <v>3.0649999999999997E-2</v>
      </c>
    </row>
    <row r="527" spans="1:13" x14ac:dyDescent="0.15">
      <c r="D527" s="20" t="s">
        <v>25</v>
      </c>
      <c r="E527" s="21">
        <v>2.4369999999999998</v>
      </c>
      <c r="F527" s="1" t="s">
        <v>117</v>
      </c>
      <c r="G527" s="3">
        <f>3.101*E527^(0.33)/100</f>
        <v>4.1606778501658524E-2</v>
      </c>
      <c r="H527" s="7">
        <f>0.09*E527/100</f>
        <v>2.1932999999999996E-3</v>
      </c>
      <c r="I527" s="88">
        <v>0</v>
      </c>
      <c r="J527" s="28" t="s">
        <v>20</v>
      </c>
      <c r="K527" s="1">
        <f t="shared" si="62"/>
        <v>8.9999999999999987E-4</v>
      </c>
      <c r="L527" s="1">
        <f t="shared" si="63"/>
        <v>8.9999999999999987E-4</v>
      </c>
      <c r="M527" s="22">
        <f t="shared" si="64"/>
        <v>3.1010000000000003E-2</v>
      </c>
    </row>
    <row r="528" spans="1:13" x14ac:dyDescent="0.15">
      <c r="D528" s="20" t="s">
        <v>27</v>
      </c>
      <c r="E528" s="21">
        <v>0.26500000000000001</v>
      </c>
      <c r="F528" s="1" t="s">
        <v>117</v>
      </c>
      <c r="G528" s="3">
        <f>2.552*E528^(0.33)/100</f>
        <v>1.6464623666423886E-2</v>
      </c>
      <c r="H528" s="4">
        <f>0.023*E528/100</f>
        <v>6.0950000000000004E-5</v>
      </c>
      <c r="I528" s="83">
        <v>0</v>
      </c>
      <c r="J528" s="28" t="s">
        <v>20</v>
      </c>
      <c r="K528" s="1">
        <f t="shared" si="62"/>
        <v>2.3000000000000001E-4</v>
      </c>
      <c r="L528" s="1">
        <f t="shared" si="63"/>
        <v>2.3000000000000001E-4</v>
      </c>
      <c r="M528" s="22">
        <f t="shared" si="64"/>
        <v>2.5519999999999998E-2</v>
      </c>
    </row>
    <row r="529" spans="1:13" x14ac:dyDescent="0.15">
      <c r="D529" s="20" t="s">
        <v>28</v>
      </c>
      <c r="E529" s="21">
        <v>4.82</v>
      </c>
      <c r="F529" s="1" t="s">
        <v>117</v>
      </c>
      <c r="G529" s="3">
        <f>3.595*E529^(0.33)/100</f>
        <v>6.0409385408521955E-2</v>
      </c>
      <c r="H529" s="7">
        <f>0.112*E529/100</f>
        <v>5.3984000000000011E-3</v>
      </c>
      <c r="I529" s="88">
        <v>0</v>
      </c>
      <c r="J529" s="28" t="s">
        <v>20</v>
      </c>
      <c r="K529" s="1">
        <f t="shared" si="62"/>
        <v>1.1200000000000001E-3</v>
      </c>
      <c r="L529" s="1">
        <f t="shared" si="63"/>
        <v>1.1200000000000001E-3</v>
      </c>
      <c r="M529" s="22">
        <f t="shared" si="64"/>
        <v>3.5949999999999996E-2</v>
      </c>
    </row>
    <row r="530" spans="1:13" x14ac:dyDescent="0.15">
      <c r="D530" s="20" t="s">
        <v>41</v>
      </c>
      <c r="E530" s="21">
        <v>9.7070000000000004E-2</v>
      </c>
      <c r="F530" s="1" t="s">
        <v>117</v>
      </c>
      <c r="G530" s="3">
        <v>7.4660000000000004E-3</v>
      </c>
      <c r="H530" s="4">
        <v>8.5199999999999997E-5</v>
      </c>
      <c r="I530" s="83">
        <v>18</v>
      </c>
      <c r="J530" s="28" t="s">
        <v>43</v>
      </c>
      <c r="K530" s="1">
        <f t="shared" si="62"/>
        <v>8.3475857822547727E-4</v>
      </c>
      <c r="L530" s="1">
        <f t="shared" si="63"/>
        <v>8.7771711136293393E-4</v>
      </c>
      <c r="M530" s="22">
        <f t="shared" si="64"/>
        <v>1.611943910031885E-2</v>
      </c>
    </row>
    <row r="531" spans="1:13" x14ac:dyDescent="0.15">
      <c r="D531" s="20" t="s">
        <v>41</v>
      </c>
      <c r="E531" s="21">
        <v>0.10265000000000001</v>
      </c>
      <c r="F531" s="1" t="s">
        <v>117</v>
      </c>
      <c r="G531" s="6">
        <v>7.4120000000000002E-3</v>
      </c>
      <c r="H531" s="7">
        <v>1E-4</v>
      </c>
      <c r="I531" s="88">
        <v>13</v>
      </c>
      <c r="J531" s="28" t="s">
        <v>43</v>
      </c>
      <c r="K531" s="1">
        <f t="shared" si="62"/>
        <v>9.4921584489550436E-4</v>
      </c>
      <c r="L531" s="1">
        <f t="shared" si="63"/>
        <v>9.7418412079883102E-4</v>
      </c>
      <c r="M531" s="22">
        <f t="shared" si="64"/>
        <v>1.5710389626597529E-2</v>
      </c>
    </row>
    <row r="532" spans="1:13" x14ac:dyDescent="0.15">
      <c r="D532" s="20" t="s">
        <v>42</v>
      </c>
      <c r="E532" s="21">
        <v>5.7000000000000002E-2</v>
      </c>
      <c r="F532" s="1" t="s">
        <v>117</v>
      </c>
      <c r="G532" s="3">
        <v>4.6639999999999997E-3</v>
      </c>
      <c r="H532" s="4">
        <v>4.3999999999999999E-5</v>
      </c>
      <c r="I532" s="83">
        <v>0</v>
      </c>
      <c r="J532" s="28" t="s">
        <v>43</v>
      </c>
      <c r="K532" s="1">
        <f t="shared" si="62"/>
        <v>7.7192982456140351E-4</v>
      </c>
      <c r="L532" s="1">
        <f t="shared" si="63"/>
        <v>7.7192982456140351E-4</v>
      </c>
      <c r="M532" s="22">
        <f t="shared" si="64"/>
        <v>1.200383008636844E-2</v>
      </c>
    </row>
    <row r="533" spans="1:13" x14ac:dyDescent="0.15">
      <c r="D533" s="20" t="s">
        <v>42</v>
      </c>
      <c r="E533" s="21">
        <v>5.1700000000000003E-2</v>
      </c>
      <c r="F533" s="1" t="s">
        <v>117</v>
      </c>
      <c r="G533" s="6">
        <v>4.7429999999999998E-3</v>
      </c>
      <c r="H533" s="7">
        <v>4.0500000000000002E-5</v>
      </c>
      <c r="I533" s="88">
        <v>0</v>
      </c>
      <c r="J533" s="28" t="s">
        <v>43</v>
      </c>
      <c r="K533" s="1">
        <f t="shared" si="62"/>
        <v>7.8336557059961319E-4</v>
      </c>
      <c r="L533" s="1">
        <f t="shared" si="63"/>
        <v>7.8336557059961319E-4</v>
      </c>
      <c r="M533" s="22">
        <f t="shared" si="64"/>
        <v>1.260669498754491E-2</v>
      </c>
    </row>
    <row r="534" spans="1:13" x14ac:dyDescent="0.15">
      <c r="A534" s="10"/>
      <c r="D534" s="68" t="s">
        <v>111</v>
      </c>
      <c r="E534" s="51">
        <v>0.89984193999999995</v>
      </c>
      <c r="F534" s="51" t="s">
        <v>117</v>
      </c>
      <c r="G534" s="74"/>
      <c r="H534" s="75">
        <v>1.0251259024799998E-3</v>
      </c>
      <c r="I534" s="90">
        <f>AVERAGE(I519:I533)</f>
        <v>12.637777555555555</v>
      </c>
      <c r="J534" s="21" t="s">
        <v>206</v>
      </c>
      <c r="K534" s="8">
        <f t="shared" si="62"/>
        <v>1.1116284364668027E-3</v>
      </c>
      <c r="L534" s="8">
        <f t="shared" si="63"/>
        <v>1.139228854436369E-3</v>
      </c>
      <c r="M534" s="9"/>
    </row>
    <row r="535" spans="1:13" x14ac:dyDescent="0.15">
      <c r="I535" s="85"/>
    </row>
    <row r="536" spans="1:13" x14ac:dyDescent="0.15">
      <c r="I536" s="85"/>
    </row>
    <row r="537" spans="1:13" x14ac:dyDescent="0.15">
      <c r="A537" s="47" t="s">
        <v>119</v>
      </c>
      <c r="B537" s="49" t="s">
        <v>118</v>
      </c>
      <c r="C537" s="49" t="s">
        <v>101</v>
      </c>
      <c r="D537" s="20" t="s">
        <v>8</v>
      </c>
      <c r="E537" s="1">
        <v>17.100000000000001</v>
      </c>
      <c r="F537" s="1" t="s">
        <v>119</v>
      </c>
      <c r="G537" s="40">
        <v>1.9E-2</v>
      </c>
      <c r="H537" s="41">
        <v>3.2100000000000002E-3</v>
      </c>
      <c r="I537" s="82">
        <v>21.6</v>
      </c>
      <c r="J537" s="1" t="s">
        <v>223</v>
      </c>
      <c r="K537" s="1">
        <f t="shared" ref="K537:K544" si="65">H537*COS(RADIANS(I537))/E537</f>
        <v>1.7453698945621562E-4</v>
      </c>
      <c r="L537" s="1">
        <f t="shared" si="63"/>
        <v>1.8771929824561403E-4</v>
      </c>
      <c r="M537" s="22">
        <f t="shared" ref="M537:M543" si="66">G537/(E537^0.33)</f>
        <v>7.4450031274413521E-3</v>
      </c>
    </row>
    <row r="538" spans="1:13" x14ac:dyDescent="0.15">
      <c r="D538" s="20" t="s">
        <v>11</v>
      </c>
      <c r="E538" s="1">
        <v>90</v>
      </c>
      <c r="F538" s="1" t="s">
        <v>119</v>
      </c>
      <c r="G538" s="3">
        <v>2.3600000000000003E-2</v>
      </c>
      <c r="H538" s="39">
        <v>1.29E-2</v>
      </c>
      <c r="I538" s="83">
        <v>26</v>
      </c>
      <c r="J538" s="1" t="s">
        <v>223</v>
      </c>
      <c r="K538" s="1">
        <f t="shared" si="65"/>
        <v>1.2882714663621395E-4</v>
      </c>
      <c r="L538" s="1">
        <f t="shared" si="63"/>
        <v>1.4333333333333334E-4</v>
      </c>
      <c r="M538" s="22">
        <f t="shared" si="66"/>
        <v>5.3457909920896799E-3</v>
      </c>
    </row>
    <row r="539" spans="1:13" x14ac:dyDescent="0.15">
      <c r="D539" s="20" t="s">
        <v>12</v>
      </c>
      <c r="E539" s="1">
        <v>20.190000000000001</v>
      </c>
      <c r="F539" s="1" t="s">
        <v>119</v>
      </c>
      <c r="G539" s="3">
        <v>9.300000000000001E-3</v>
      </c>
      <c r="H539" s="4">
        <v>8.3000000000000001E-3</v>
      </c>
      <c r="I539" s="84">
        <v>40.4</v>
      </c>
      <c r="J539" s="1" t="s">
        <v>223</v>
      </c>
      <c r="K539" s="1">
        <f t="shared" si="65"/>
        <v>3.1306428690217508E-4</v>
      </c>
      <c r="L539" s="1">
        <f t="shared" si="63"/>
        <v>4.1109460128776619E-4</v>
      </c>
      <c r="M539" s="22">
        <f t="shared" si="66"/>
        <v>3.449752700612031E-3</v>
      </c>
    </row>
    <row r="540" spans="1:13" x14ac:dyDescent="0.15">
      <c r="D540" s="20" t="s">
        <v>13</v>
      </c>
      <c r="E540" s="1">
        <v>27.7</v>
      </c>
      <c r="F540" s="1" t="s">
        <v>119</v>
      </c>
      <c r="G540" s="3">
        <v>3.2000000000000001E-2</v>
      </c>
      <c r="H540" s="4">
        <v>3.8899999999999998E-3</v>
      </c>
      <c r="I540" s="83">
        <v>18.333333333333332</v>
      </c>
      <c r="J540" s="1" t="s">
        <v>223</v>
      </c>
      <c r="K540" s="1">
        <f t="shared" si="65"/>
        <v>1.3330519435014807E-4</v>
      </c>
      <c r="L540" s="1">
        <f t="shared" si="63"/>
        <v>1.404332129963899E-4</v>
      </c>
      <c r="M540" s="22">
        <f t="shared" si="66"/>
        <v>1.0693790077978464E-2</v>
      </c>
    </row>
    <row r="541" spans="1:13" x14ac:dyDescent="0.15">
      <c r="D541" s="26" t="s">
        <v>14</v>
      </c>
      <c r="E541" s="42">
        <v>278</v>
      </c>
      <c r="F541" s="1" t="s">
        <v>119</v>
      </c>
      <c r="G541" s="3">
        <v>0.06</v>
      </c>
      <c r="H541" s="4">
        <v>2.4799999999999999E-2</v>
      </c>
      <c r="I541" s="83">
        <v>21</v>
      </c>
      <c r="J541" s="1" t="s">
        <v>223</v>
      </c>
      <c r="K541" s="1">
        <f t="shared" si="65"/>
        <v>8.3283433730685613E-5</v>
      </c>
      <c r="L541" s="1">
        <f t="shared" si="63"/>
        <v>8.9208633093525172E-5</v>
      </c>
      <c r="M541" s="22">
        <f t="shared" si="66"/>
        <v>9.3673439670251823E-3</v>
      </c>
    </row>
    <row r="542" spans="1:13" x14ac:dyDescent="0.15">
      <c r="D542" s="26" t="s">
        <v>15</v>
      </c>
      <c r="E542" s="42">
        <v>7.7</v>
      </c>
      <c r="F542" s="1" t="s">
        <v>119</v>
      </c>
      <c r="G542" s="3">
        <v>4.9200000000000001E-2</v>
      </c>
      <c r="H542" s="4">
        <v>1.0139999999999999E-3</v>
      </c>
      <c r="I542" s="83">
        <v>0</v>
      </c>
      <c r="J542" s="1" t="s">
        <v>223</v>
      </c>
      <c r="K542" s="1">
        <f t="shared" si="65"/>
        <v>1.3168831168831167E-4</v>
      </c>
      <c r="L542" s="1">
        <f t="shared" si="63"/>
        <v>1.3168831168831167E-4</v>
      </c>
      <c r="M542" s="22">
        <f t="shared" si="66"/>
        <v>2.5085523204263625E-2</v>
      </c>
    </row>
    <row r="543" spans="1:13" x14ac:dyDescent="0.15">
      <c r="D543" s="20" t="s">
        <v>14</v>
      </c>
      <c r="E543" s="1">
        <v>3.7</v>
      </c>
      <c r="F543" s="1" t="s">
        <v>119</v>
      </c>
      <c r="G543" s="40">
        <v>2.29E-2</v>
      </c>
      <c r="H543" s="41">
        <v>6.2730000000000001E-4</v>
      </c>
      <c r="I543" s="82">
        <v>12.33333</v>
      </c>
      <c r="J543" s="1" t="s">
        <v>222</v>
      </c>
      <c r="K543" s="1">
        <f t="shared" si="65"/>
        <v>1.6562779671169928E-4</v>
      </c>
      <c r="L543" s="1">
        <f t="shared" si="63"/>
        <v>1.6954054054054053E-4</v>
      </c>
      <c r="M543" s="22">
        <f t="shared" si="66"/>
        <v>1.4870614435199126E-2</v>
      </c>
    </row>
    <row r="544" spans="1:13" x14ac:dyDescent="0.15">
      <c r="A544" s="10"/>
      <c r="D544" s="68" t="s">
        <v>111</v>
      </c>
      <c r="E544" s="51">
        <v>0.89984193999999995</v>
      </c>
      <c r="F544" s="51" t="s">
        <v>119</v>
      </c>
      <c r="G544" s="74"/>
      <c r="H544" s="75">
        <v>2.8916799840999997E-4</v>
      </c>
      <c r="I544" s="90">
        <f>AVERAGE(I537:I543)</f>
        <v>19.952380476190477</v>
      </c>
      <c r="J544" s="21" t="s">
        <v>206</v>
      </c>
      <c r="K544" s="8">
        <f t="shared" si="65"/>
        <v>3.020654260650222E-4</v>
      </c>
      <c r="L544" s="8">
        <f t="shared" si="63"/>
        <v>3.213542129521102E-4</v>
      </c>
      <c r="M544" s="9"/>
    </row>
    <row r="545" spans="1:13" x14ac:dyDescent="0.15">
      <c r="I545" s="85"/>
    </row>
    <row r="546" spans="1:13" x14ac:dyDescent="0.15">
      <c r="I546" s="85"/>
    </row>
    <row r="547" spans="1:13" x14ac:dyDescent="0.15">
      <c r="A547" s="47" t="s">
        <v>220</v>
      </c>
      <c r="B547" s="49" t="s">
        <v>121</v>
      </c>
      <c r="C547" s="49" t="s">
        <v>101</v>
      </c>
      <c r="D547" s="20" t="s">
        <v>8</v>
      </c>
      <c r="E547" s="1">
        <v>17.100000000000001</v>
      </c>
      <c r="F547" s="1" t="s">
        <v>120</v>
      </c>
      <c r="G547" s="40">
        <v>4.6142857142857145E-2</v>
      </c>
      <c r="H547" s="41">
        <v>1.438E-2</v>
      </c>
      <c r="I547" s="82">
        <v>21.666666666666668</v>
      </c>
      <c r="J547" s="1" t="s">
        <v>223</v>
      </c>
      <c r="K547" s="1">
        <f t="shared" ref="K547:K567" si="67">H547*COS(RADIANS(I547))/E547</f>
        <v>7.8152148528547985E-4</v>
      </c>
      <c r="L547" s="1">
        <f t="shared" si="63"/>
        <v>8.4093567251461985E-4</v>
      </c>
      <c r="M547" s="22">
        <f t="shared" ref="M547:M553" si="68">G547/(E547^0.33)</f>
        <v>1.8080721880929001E-2</v>
      </c>
    </row>
    <row r="548" spans="1:13" x14ac:dyDescent="0.15">
      <c r="D548" s="20" t="s">
        <v>11</v>
      </c>
      <c r="E548" s="1">
        <v>90</v>
      </c>
      <c r="F548" s="1" t="s">
        <v>120</v>
      </c>
      <c r="G548" s="3">
        <v>5.1400000000000001E-2</v>
      </c>
      <c r="H548" s="4">
        <v>4.1309999999999999E-2</v>
      </c>
      <c r="I548" s="83">
        <v>27</v>
      </c>
      <c r="J548" s="1" t="s">
        <v>223</v>
      </c>
      <c r="K548" s="1">
        <f t="shared" si="67"/>
        <v>4.0897199460246083E-4</v>
      </c>
      <c r="L548" s="1">
        <f t="shared" si="63"/>
        <v>4.5899999999999999E-4</v>
      </c>
      <c r="M548" s="22">
        <f t="shared" si="68"/>
        <v>1.1642951567517353E-2</v>
      </c>
    </row>
    <row r="549" spans="1:13" x14ac:dyDescent="0.15">
      <c r="D549" s="20" t="s">
        <v>12</v>
      </c>
      <c r="E549" s="1">
        <v>20.190000000000001</v>
      </c>
      <c r="F549" s="1" t="s">
        <v>120</v>
      </c>
      <c r="G549" s="3">
        <v>5.9730000000000005E-2</v>
      </c>
      <c r="H549" s="4">
        <v>8.6999999999999994E-3</v>
      </c>
      <c r="I549" s="84">
        <v>0</v>
      </c>
      <c r="J549" s="1" t="s">
        <v>223</v>
      </c>
      <c r="K549" s="1">
        <f t="shared" si="67"/>
        <v>4.3090638930163444E-4</v>
      </c>
      <c r="L549" s="1">
        <f t="shared" si="63"/>
        <v>4.3090638930163444E-4</v>
      </c>
      <c r="M549" s="22">
        <f t="shared" si="68"/>
        <v>2.2156314925543721E-2</v>
      </c>
    </row>
    <row r="550" spans="1:13" x14ac:dyDescent="0.15">
      <c r="D550" s="20" t="s">
        <v>13</v>
      </c>
      <c r="E550" s="1">
        <v>27.7</v>
      </c>
      <c r="F550" s="1" t="s">
        <v>120</v>
      </c>
      <c r="G550" s="3">
        <v>7.5799999999999992E-2</v>
      </c>
      <c r="H550" s="4">
        <v>1.359E-2</v>
      </c>
      <c r="I550" s="83">
        <v>13.333333333333334</v>
      </c>
      <c r="J550" s="1" t="s">
        <v>223</v>
      </c>
      <c r="K550" s="1">
        <f t="shared" si="67"/>
        <v>4.7738916213645508E-4</v>
      </c>
      <c r="L550" s="1">
        <f t="shared" si="63"/>
        <v>4.9061371841155235E-4</v>
      </c>
      <c r="M550" s="22">
        <f t="shared" si="68"/>
        <v>2.5330915247211486E-2</v>
      </c>
    </row>
    <row r="551" spans="1:13" x14ac:dyDescent="0.15">
      <c r="D551" s="26" t="s">
        <v>14</v>
      </c>
      <c r="E551" s="42">
        <v>278</v>
      </c>
      <c r="F551" s="1" t="s">
        <v>120</v>
      </c>
      <c r="G551" s="3">
        <v>0.16400000000000001</v>
      </c>
      <c r="H551" s="4">
        <v>0.1008</v>
      </c>
      <c r="I551" s="83">
        <v>35</v>
      </c>
      <c r="J551" s="1" t="s">
        <v>223</v>
      </c>
      <c r="K551" s="1">
        <f t="shared" si="67"/>
        <v>2.9701628080694382E-4</v>
      </c>
      <c r="L551" s="1">
        <f t="shared" si="63"/>
        <v>3.6258992805755395E-4</v>
      </c>
      <c r="M551" s="22">
        <f t="shared" si="68"/>
        <v>2.5604073509868833E-2</v>
      </c>
    </row>
    <row r="552" spans="1:13" x14ac:dyDescent="0.15">
      <c r="D552" s="26" t="s">
        <v>15</v>
      </c>
      <c r="E552" s="42">
        <v>7.7</v>
      </c>
      <c r="F552" s="1" t="s">
        <v>120</v>
      </c>
      <c r="G552" s="3">
        <v>0.10299999999999999</v>
      </c>
      <c r="H552" s="4">
        <v>4.9119999999999997E-3</v>
      </c>
      <c r="I552" s="83">
        <v>0</v>
      </c>
      <c r="J552" s="1" t="s">
        <v>223</v>
      </c>
      <c r="K552" s="1">
        <f t="shared" si="67"/>
        <v>6.3792207792207783E-4</v>
      </c>
      <c r="L552" s="1">
        <f t="shared" si="63"/>
        <v>6.3792207792207783E-4</v>
      </c>
      <c r="M552" s="22">
        <f t="shared" si="68"/>
        <v>5.2516440854454338E-2</v>
      </c>
    </row>
    <row r="553" spans="1:13" x14ac:dyDescent="0.15">
      <c r="D553" s="20" t="s">
        <v>14</v>
      </c>
      <c r="E553" s="1">
        <v>3.7</v>
      </c>
      <c r="F553" s="1" t="s">
        <v>120</v>
      </c>
      <c r="G553" s="40">
        <v>5.7473000000000003E-2</v>
      </c>
      <c r="H553" s="41">
        <v>2.3381999999999999E-3</v>
      </c>
      <c r="I553" s="82">
        <v>18.33333</v>
      </c>
      <c r="J553" s="1" t="s">
        <v>222</v>
      </c>
      <c r="K553" s="1">
        <f t="shared" si="67"/>
        <v>5.9987005188926747E-4</v>
      </c>
      <c r="L553" s="1">
        <f t="shared" si="63"/>
        <v>6.3194594594594589E-4</v>
      </c>
      <c r="M553" s="22">
        <f t="shared" si="68"/>
        <v>3.7321346001493422E-2</v>
      </c>
    </row>
    <row r="554" spans="1:13" x14ac:dyDescent="0.15">
      <c r="D554" s="20" t="s">
        <v>18</v>
      </c>
      <c r="E554" s="21">
        <v>8.9999999999999993E-3</v>
      </c>
      <c r="F554" s="1" t="s">
        <v>120</v>
      </c>
      <c r="G554" s="40" t="s">
        <v>35</v>
      </c>
      <c r="H554" s="41">
        <f>0.021*E554/100</f>
        <v>1.8899999999999999E-6</v>
      </c>
      <c r="I554" s="82">
        <v>0</v>
      </c>
      <c r="J554" s="28" t="s">
        <v>20</v>
      </c>
      <c r="K554" s="1">
        <f t="shared" si="67"/>
        <v>2.1000000000000001E-4</v>
      </c>
      <c r="L554" s="1">
        <f t="shared" si="63"/>
        <v>2.1000000000000001E-4</v>
      </c>
      <c r="M554" s="108">
        <v>0</v>
      </c>
    </row>
    <row r="555" spans="1:13" x14ac:dyDescent="0.15">
      <c r="D555" s="20" t="s">
        <v>21</v>
      </c>
      <c r="E555" s="21">
        <v>1.2999999999999999E-2</v>
      </c>
      <c r="F555" s="1" t="s">
        <v>120</v>
      </c>
      <c r="G555" s="40" t="s">
        <v>35</v>
      </c>
      <c r="H555" s="41">
        <f>0.0052*E555/100</f>
        <v>6.7599999999999986E-7</v>
      </c>
      <c r="I555" s="82">
        <v>0</v>
      </c>
      <c r="J555" s="28" t="s">
        <v>20</v>
      </c>
      <c r="K555" s="1">
        <f t="shared" si="67"/>
        <v>5.199999999999999E-5</v>
      </c>
      <c r="L555" s="1">
        <f t="shared" si="63"/>
        <v>5.199999999999999E-5</v>
      </c>
      <c r="M555" s="108">
        <v>0</v>
      </c>
    </row>
    <row r="556" spans="1:13" x14ac:dyDescent="0.15">
      <c r="D556" s="20" t="s">
        <v>22</v>
      </c>
      <c r="E556" s="21">
        <v>1.6E-2</v>
      </c>
      <c r="F556" s="1" t="s">
        <v>120</v>
      </c>
      <c r="G556" s="40" t="s">
        <v>35</v>
      </c>
      <c r="H556" s="41">
        <f>0.0089*E556/100</f>
        <v>1.4239999999999998E-6</v>
      </c>
      <c r="I556" s="82">
        <v>0</v>
      </c>
      <c r="J556" s="28" t="s">
        <v>20</v>
      </c>
      <c r="K556" s="1">
        <f t="shared" si="67"/>
        <v>8.8999999999999981E-5</v>
      </c>
      <c r="L556" s="1">
        <f t="shared" si="63"/>
        <v>8.8999999999999981E-5</v>
      </c>
      <c r="M556" s="108">
        <v>0</v>
      </c>
    </row>
    <row r="557" spans="1:13" x14ac:dyDescent="0.15">
      <c r="D557" s="20" t="s">
        <v>23</v>
      </c>
      <c r="E557" s="21">
        <v>0.443</v>
      </c>
      <c r="F557" s="1" t="s">
        <v>120</v>
      </c>
      <c r="G557" s="3">
        <f>4.486*E557^(0.33)/100</f>
        <v>3.4290395868951586E-2</v>
      </c>
      <c r="H557" s="41">
        <f>0.133*E557/100</f>
        <v>5.8919000000000007E-4</v>
      </c>
      <c r="I557" s="82">
        <v>0.66700000000000004</v>
      </c>
      <c r="J557" s="28" t="s">
        <v>20</v>
      </c>
      <c r="K557" s="1">
        <f t="shared" si="67"/>
        <v>1.3299098795931583E-3</v>
      </c>
      <c r="L557" s="1">
        <f t="shared" si="63"/>
        <v>1.3300000000000002E-3</v>
      </c>
      <c r="M557" s="22">
        <f t="shared" ref="M557:M566" si="69">G557/(E557^0.33)</f>
        <v>4.4859999999999997E-2</v>
      </c>
    </row>
    <row r="558" spans="1:13" x14ac:dyDescent="0.15">
      <c r="D558" s="20" t="s">
        <v>24</v>
      </c>
      <c r="E558" s="21">
        <v>36.667000000000002</v>
      </c>
      <c r="F558" s="1" t="s">
        <v>120</v>
      </c>
      <c r="G558" s="3">
        <f>3.687*E558^(0.33)/100</f>
        <v>0.12102748610386024</v>
      </c>
      <c r="H558" s="41">
        <f>0.087*E558/100</f>
        <v>3.1900289999999998E-2</v>
      </c>
      <c r="I558" s="82">
        <v>0.222</v>
      </c>
      <c r="J558" s="28" t="s">
        <v>20</v>
      </c>
      <c r="K558" s="1">
        <f t="shared" si="67"/>
        <v>8.6999346945543113E-4</v>
      </c>
      <c r="L558" s="1">
        <f t="shared" si="63"/>
        <v>8.699999999999999E-4</v>
      </c>
      <c r="M558" s="22">
        <f t="shared" si="69"/>
        <v>3.687E-2</v>
      </c>
    </row>
    <row r="559" spans="1:13" x14ac:dyDescent="0.15">
      <c r="D559" s="20" t="s">
        <v>25</v>
      </c>
      <c r="E559" s="21">
        <v>1.381</v>
      </c>
      <c r="F559" s="1" t="s">
        <v>120</v>
      </c>
      <c r="G559" s="3">
        <f>4.497*E559^(0.33)/100</f>
        <v>5.0024965926672452E-2</v>
      </c>
      <c r="H559" s="41">
        <f>0.136*E559/100</f>
        <v>1.87816E-3</v>
      </c>
      <c r="I559" s="82">
        <v>0.38900000000000001</v>
      </c>
      <c r="J559" s="28" t="s">
        <v>20</v>
      </c>
      <c r="K559" s="1">
        <f t="shared" si="67"/>
        <v>1.3599686555118484E-3</v>
      </c>
      <c r="L559" s="1">
        <f t="shared" si="63"/>
        <v>1.3600000000000001E-3</v>
      </c>
      <c r="M559" s="22">
        <f t="shared" si="69"/>
        <v>4.4970000000000003E-2</v>
      </c>
    </row>
    <row r="560" spans="1:13" x14ac:dyDescent="0.15">
      <c r="D560" s="20" t="s">
        <v>26</v>
      </c>
      <c r="E560" s="21">
        <v>0.158</v>
      </c>
      <c r="F560" s="1" t="s">
        <v>120</v>
      </c>
      <c r="G560" s="3">
        <f>4.079*E560^(0.33)/100</f>
        <v>2.2187611047131788E-2</v>
      </c>
      <c r="H560" s="41">
        <f>0.08*E560/100</f>
        <v>1.2640000000000001E-4</v>
      </c>
      <c r="I560" s="82">
        <v>0</v>
      </c>
      <c r="J560" s="28" t="s">
        <v>20</v>
      </c>
      <c r="K560" s="1">
        <f t="shared" si="67"/>
        <v>8.0000000000000004E-4</v>
      </c>
      <c r="L560" s="1">
        <f t="shared" si="63"/>
        <v>8.0000000000000004E-4</v>
      </c>
      <c r="M560" s="22">
        <f t="shared" si="69"/>
        <v>4.079E-2</v>
      </c>
    </row>
    <row r="561" spans="1:13" x14ac:dyDescent="0.15">
      <c r="D561" s="20" t="s">
        <v>27</v>
      </c>
      <c r="E561" s="21">
        <v>0.158</v>
      </c>
      <c r="F561" s="1" t="s">
        <v>120</v>
      </c>
      <c r="G561" s="3">
        <f>4.583*E561^(0.33)/100</f>
        <v>2.4929105523168668E-2</v>
      </c>
      <c r="H561" s="41">
        <f>0.144*E561/100</f>
        <v>2.2751999999999999E-4</v>
      </c>
      <c r="I561" s="82">
        <v>0.111</v>
      </c>
      <c r="J561" s="28" t="s">
        <v>20</v>
      </c>
      <c r="K561" s="1">
        <f t="shared" si="67"/>
        <v>1.43999729770316E-3</v>
      </c>
      <c r="L561" s="1">
        <f t="shared" si="63"/>
        <v>1.4399999999999999E-3</v>
      </c>
      <c r="M561" s="22">
        <f t="shared" si="69"/>
        <v>4.5830000000000003E-2</v>
      </c>
    </row>
    <row r="562" spans="1:13" x14ac:dyDescent="0.15">
      <c r="D562" s="20" t="s">
        <v>28</v>
      </c>
      <c r="E562" s="21">
        <v>2.6230000000000002</v>
      </c>
      <c r="F562" s="1" t="s">
        <v>120</v>
      </c>
      <c r="G562" s="3">
        <f>4.023*E562^(0.33)/100</f>
        <v>5.5303608372232568E-2</v>
      </c>
      <c r="H562" s="41">
        <f>0.11*E562/100</f>
        <v>2.8852999999999999E-3</v>
      </c>
      <c r="I562" s="82">
        <v>0.25</v>
      </c>
      <c r="J562" s="28" t="s">
        <v>20</v>
      </c>
      <c r="K562" s="1">
        <f t="shared" si="67"/>
        <v>1.0999895287928077E-3</v>
      </c>
      <c r="L562" s="1">
        <f t="shared" si="63"/>
        <v>1.0999999999999998E-3</v>
      </c>
      <c r="M562" s="22">
        <f t="shared" si="69"/>
        <v>4.0229999999999995E-2</v>
      </c>
    </row>
    <row r="563" spans="1:13" x14ac:dyDescent="0.15">
      <c r="D563" s="20" t="s">
        <v>41</v>
      </c>
      <c r="E563" s="21">
        <v>9.7070000000000004E-2</v>
      </c>
      <c r="F563" s="1" t="s">
        <v>120</v>
      </c>
      <c r="G563" s="40">
        <v>1.0474000000000001E-2</v>
      </c>
      <c r="H563" s="41">
        <v>6.9499999999999995E-5</v>
      </c>
      <c r="I563" s="82">
        <v>0</v>
      </c>
      <c r="J563" s="28" t="s">
        <v>43</v>
      </c>
      <c r="K563" s="1">
        <f t="shared" si="67"/>
        <v>7.1597816009065615E-4</v>
      </c>
      <c r="L563" s="1">
        <f t="shared" si="63"/>
        <v>7.1597816009065615E-4</v>
      </c>
      <c r="M563" s="22">
        <f t="shared" si="69"/>
        <v>2.2613850138861455E-2</v>
      </c>
    </row>
    <row r="564" spans="1:13" x14ac:dyDescent="0.15">
      <c r="D564" s="20" t="s">
        <v>41</v>
      </c>
      <c r="E564" s="21">
        <v>0.10265000000000001</v>
      </c>
      <c r="F564" s="1" t="s">
        <v>120</v>
      </c>
      <c r="G564" s="40">
        <v>1.09E-2</v>
      </c>
      <c r="H564" s="41">
        <v>6.5099999999999997E-5</v>
      </c>
      <c r="I564" s="82">
        <v>0</v>
      </c>
      <c r="J564" s="28" t="s">
        <v>43</v>
      </c>
      <c r="K564" s="1">
        <f t="shared" si="67"/>
        <v>6.3419386264003895E-4</v>
      </c>
      <c r="L564" s="1">
        <f t="shared" si="63"/>
        <v>6.3419386264003895E-4</v>
      </c>
      <c r="M564" s="22">
        <f t="shared" si="69"/>
        <v>2.3103514156761071E-2</v>
      </c>
    </row>
    <row r="565" spans="1:13" x14ac:dyDescent="0.15">
      <c r="D565" s="20" t="s">
        <v>42</v>
      </c>
      <c r="E565" s="21">
        <v>5.7000000000000002E-2</v>
      </c>
      <c r="F565" s="1" t="s">
        <v>120</v>
      </c>
      <c r="G565" s="40">
        <v>6.0369999999999998E-3</v>
      </c>
      <c r="H565" s="41">
        <v>1.0699999999999999E-5</v>
      </c>
      <c r="I565" s="82">
        <v>0</v>
      </c>
      <c r="J565" s="28" t="s">
        <v>43</v>
      </c>
      <c r="K565" s="1">
        <f t="shared" si="67"/>
        <v>1.8771929824561401E-4</v>
      </c>
      <c r="L565" s="1">
        <f t="shared" si="63"/>
        <v>1.8771929824561401E-4</v>
      </c>
      <c r="M565" s="22">
        <f t="shared" si="69"/>
        <v>1.5537547648243197E-2</v>
      </c>
    </row>
    <row r="566" spans="1:13" x14ac:dyDescent="0.15">
      <c r="D566" s="20" t="s">
        <v>42</v>
      </c>
      <c r="E566" s="21">
        <v>5.1700000000000003E-2</v>
      </c>
      <c r="F566" s="1" t="s">
        <v>120</v>
      </c>
      <c r="G566" s="40">
        <v>6.4000000000000003E-3</v>
      </c>
      <c r="H566" s="41">
        <v>1.5699999999999999E-5</v>
      </c>
      <c r="I566" s="82">
        <v>0</v>
      </c>
      <c r="J566" s="28" t="s">
        <v>43</v>
      </c>
      <c r="K566" s="1">
        <f t="shared" si="67"/>
        <v>3.0367504835589936E-4</v>
      </c>
      <c r="L566" s="1">
        <f t="shared" si="63"/>
        <v>3.0367504835589936E-4</v>
      </c>
      <c r="M566" s="22">
        <f t="shared" si="69"/>
        <v>1.7010931461161168E-2</v>
      </c>
    </row>
    <row r="567" spans="1:13" x14ac:dyDescent="0.15">
      <c r="A567" s="10"/>
      <c r="D567" s="68" t="s">
        <v>111</v>
      </c>
      <c r="E567" s="51">
        <v>0.89984193999999995</v>
      </c>
      <c r="F567" s="51" t="s">
        <v>219</v>
      </c>
      <c r="G567" s="74"/>
      <c r="H567" s="104">
        <v>1.2657312681200001E-3</v>
      </c>
      <c r="I567" s="90">
        <f>AVERAGE(I547:I566)</f>
        <v>5.8486165000000003</v>
      </c>
      <c r="J567" s="21" t="s">
        <v>206</v>
      </c>
      <c r="K567" s="102">
        <f t="shared" si="67"/>
        <v>1.3992931179365919E-3</v>
      </c>
      <c r="L567" s="102">
        <f>H567/E567</f>
        <v>1.4066151085600658E-3</v>
      </c>
      <c r="M567" s="9"/>
    </row>
    <row r="568" spans="1:13" x14ac:dyDescent="0.15">
      <c r="I568" s="85"/>
    </row>
    <row r="569" spans="1:13" x14ac:dyDescent="0.15">
      <c r="A569" s="47" t="s">
        <v>221</v>
      </c>
      <c r="I569" s="85"/>
    </row>
    <row r="570" spans="1:13" x14ac:dyDescent="0.15">
      <c r="B570" s="49" t="s">
        <v>121</v>
      </c>
      <c r="C570" s="49" t="s">
        <v>101</v>
      </c>
      <c r="D570" s="20" t="s">
        <v>8</v>
      </c>
      <c r="E570" s="1">
        <v>17.100000000000001</v>
      </c>
      <c r="F570" s="1" t="s">
        <v>122</v>
      </c>
      <c r="G570" s="40">
        <v>7.2333333333333333E-2</v>
      </c>
      <c r="H570" s="41">
        <v>9.6500000000000006E-3</v>
      </c>
      <c r="I570" s="82">
        <v>0</v>
      </c>
      <c r="J570" s="1" t="s">
        <v>223</v>
      </c>
      <c r="K570" s="1">
        <f t="shared" ref="K570:K585" si="70">H570*COS(RADIANS(I570))/E570</f>
        <v>5.6432748538011695E-4</v>
      </c>
      <c r="L570" s="1">
        <f t="shared" si="63"/>
        <v>5.6432748538011695E-4</v>
      </c>
      <c r="M570" s="22">
        <f t="shared" ref="M570:M584" si="71">G570/(E570^0.33)</f>
        <v>2.8343257520259183E-2</v>
      </c>
    </row>
    <row r="571" spans="1:13" x14ac:dyDescent="0.15">
      <c r="D571" s="20" t="s">
        <v>11</v>
      </c>
      <c r="E571" s="1">
        <v>90</v>
      </c>
      <c r="F571" s="1" t="s">
        <v>122</v>
      </c>
      <c r="G571" s="3">
        <v>8.9166666666666672E-2</v>
      </c>
      <c r="H571" s="4">
        <v>3.6630000000000003E-2</v>
      </c>
      <c r="I571" s="83">
        <v>0</v>
      </c>
      <c r="J571" s="1" t="s">
        <v>223</v>
      </c>
      <c r="K571" s="1">
        <f t="shared" si="70"/>
        <v>4.0700000000000003E-4</v>
      </c>
      <c r="L571" s="1">
        <f t="shared" si="63"/>
        <v>4.0700000000000003E-4</v>
      </c>
      <c r="M571" s="22">
        <f t="shared" si="71"/>
        <v>2.0197727265310585E-2</v>
      </c>
    </row>
    <row r="572" spans="1:13" x14ac:dyDescent="0.15">
      <c r="D572" s="20" t="s">
        <v>12</v>
      </c>
      <c r="E572" s="1">
        <v>20.190000000000001</v>
      </c>
      <c r="F572" s="1" t="s">
        <v>122</v>
      </c>
      <c r="G572" s="3">
        <v>6.8300000000000013E-2</v>
      </c>
      <c r="H572" s="4">
        <v>9.1000000000000004E-3</v>
      </c>
      <c r="I572" s="84">
        <v>0</v>
      </c>
      <c r="J572" s="1" t="s">
        <v>223</v>
      </c>
      <c r="K572" s="1">
        <f t="shared" si="70"/>
        <v>4.5071817731550274E-4</v>
      </c>
      <c r="L572" s="1">
        <f t="shared" si="63"/>
        <v>4.5071817731550274E-4</v>
      </c>
      <c r="M572" s="22">
        <f t="shared" si="71"/>
        <v>2.5335280586215241E-2</v>
      </c>
    </row>
    <row r="573" spans="1:13" x14ac:dyDescent="0.15">
      <c r="D573" s="20" t="s">
        <v>13</v>
      </c>
      <c r="E573" s="1">
        <v>27.7</v>
      </c>
      <c r="F573" s="1" t="s">
        <v>122</v>
      </c>
      <c r="G573" s="3">
        <v>7.4200000000000002E-2</v>
      </c>
      <c r="H573" s="4">
        <v>1.0057E-2</v>
      </c>
      <c r="I573" s="83">
        <v>0</v>
      </c>
      <c r="J573" s="1" t="s">
        <v>223</v>
      </c>
      <c r="K573" s="1">
        <f t="shared" si="70"/>
        <v>3.6306859205776173E-4</v>
      </c>
      <c r="L573" s="1">
        <f t="shared" si="63"/>
        <v>3.6306859205776173E-4</v>
      </c>
      <c r="M573" s="22">
        <f t="shared" si="71"/>
        <v>2.4796225743312566E-2</v>
      </c>
    </row>
    <row r="574" spans="1:13" x14ac:dyDescent="0.15">
      <c r="D574" s="26" t="s">
        <v>14</v>
      </c>
      <c r="E574" s="42">
        <v>278</v>
      </c>
      <c r="F574" s="1" t="s">
        <v>122</v>
      </c>
      <c r="G574" s="6">
        <v>0.16</v>
      </c>
      <c r="H574" s="7">
        <v>9.7199999999999995E-2</v>
      </c>
      <c r="I574" s="88">
        <v>0</v>
      </c>
      <c r="J574" s="1" t="s">
        <v>223</v>
      </c>
      <c r="K574" s="42">
        <f t="shared" si="70"/>
        <v>3.4964028776978415E-4</v>
      </c>
      <c r="L574" s="42">
        <f t="shared" si="63"/>
        <v>3.4964028776978415E-4</v>
      </c>
      <c r="M574" s="22">
        <f t="shared" si="71"/>
        <v>2.4979583912067151E-2</v>
      </c>
    </row>
    <row r="575" spans="1:13" x14ac:dyDescent="0.15">
      <c r="D575" s="26" t="s">
        <v>15</v>
      </c>
      <c r="E575" s="42">
        <v>7.7</v>
      </c>
      <c r="F575" s="1" t="s">
        <v>122</v>
      </c>
      <c r="G575" s="6">
        <v>6.9500000000000006E-2</v>
      </c>
      <c r="H575" s="7">
        <v>3.9610000000000001E-3</v>
      </c>
      <c r="I575" s="88">
        <v>0</v>
      </c>
      <c r="J575" s="1" t="s">
        <v>223</v>
      </c>
      <c r="K575" s="42">
        <f t="shared" si="70"/>
        <v>5.1441558441558445E-4</v>
      </c>
      <c r="L575" s="42">
        <f t="shared" si="63"/>
        <v>5.1441558441558445E-4</v>
      </c>
      <c r="M575" s="22">
        <f t="shared" si="71"/>
        <v>3.5435850867811425E-2</v>
      </c>
    </row>
    <row r="576" spans="1:13" x14ac:dyDescent="0.15">
      <c r="D576" s="20" t="s">
        <v>14</v>
      </c>
      <c r="E576" s="1">
        <v>3.7</v>
      </c>
      <c r="F576" s="1" t="s">
        <v>122</v>
      </c>
      <c r="G576" s="40">
        <v>5.5592999999999997E-2</v>
      </c>
      <c r="H576" s="41">
        <v>2.0157999999999999E-3</v>
      </c>
      <c r="I576" s="82">
        <v>0</v>
      </c>
      <c r="J576" s="1" t="s">
        <v>222</v>
      </c>
      <c r="K576" s="1">
        <f t="shared" si="70"/>
        <v>5.448108108108107E-4</v>
      </c>
      <c r="L576" s="1">
        <f t="shared" si="63"/>
        <v>5.448108108108107E-4</v>
      </c>
      <c r="M576" s="22">
        <f t="shared" si="71"/>
        <v>3.6100526999826417E-2</v>
      </c>
    </row>
    <row r="577" spans="1:13" x14ac:dyDescent="0.15">
      <c r="D577" s="20" t="s">
        <v>24</v>
      </c>
      <c r="E577" s="21">
        <v>40</v>
      </c>
      <c r="F577" s="22" t="s">
        <v>123</v>
      </c>
      <c r="G577" s="3">
        <f>3.418*E577^(0.33)/100</f>
        <v>0.11546539764011234</v>
      </c>
      <c r="H577" s="41">
        <f>0.058*E577/100</f>
        <v>2.3200000000000002E-2</v>
      </c>
      <c r="I577" s="82">
        <v>16</v>
      </c>
      <c r="J577" s="28" t="s">
        <v>20</v>
      </c>
      <c r="K577" s="1">
        <f t="shared" si="70"/>
        <v>5.5753178364422503E-4</v>
      </c>
      <c r="L577" s="1">
        <f t="shared" si="63"/>
        <v>5.8E-4</v>
      </c>
      <c r="M577" s="22">
        <f t="shared" si="71"/>
        <v>3.4179999999999995E-2</v>
      </c>
    </row>
    <row r="578" spans="1:13" x14ac:dyDescent="0.15">
      <c r="D578" s="20" t="s">
        <v>25</v>
      </c>
      <c r="E578" s="21">
        <v>2.4369999999999998</v>
      </c>
      <c r="F578" s="22" t="s">
        <v>123</v>
      </c>
      <c r="G578" s="3">
        <f>3.5*E578^(0.33)/100</f>
        <v>4.6960246615867403E-2</v>
      </c>
      <c r="H578" s="41">
        <f>0.059*E578/100</f>
        <v>1.43783E-3</v>
      </c>
      <c r="I578" s="82">
        <v>4.3330000000000002</v>
      </c>
      <c r="J578" s="28" t="s">
        <v>20</v>
      </c>
      <c r="K578" s="1">
        <f t="shared" si="70"/>
        <v>5.8831365225537713E-4</v>
      </c>
      <c r="L578" s="1">
        <f t="shared" si="63"/>
        <v>5.9000000000000003E-4</v>
      </c>
      <c r="M578" s="22">
        <f t="shared" si="71"/>
        <v>3.4999999999999996E-2</v>
      </c>
    </row>
    <row r="579" spans="1:13" x14ac:dyDescent="0.15">
      <c r="D579" s="20" t="s">
        <v>27</v>
      </c>
      <c r="E579" s="21">
        <v>0.26500000000000001</v>
      </c>
      <c r="F579" s="22" t="s">
        <v>123</v>
      </c>
      <c r="G579" s="3">
        <f>3.986*E579^(0.33)/100</f>
        <v>2.5716296996224769E-2</v>
      </c>
      <c r="H579" s="41">
        <f>0.17*E579/100</f>
        <v>4.5050000000000005E-4</v>
      </c>
      <c r="I579" s="82">
        <v>16.332999999999998</v>
      </c>
      <c r="J579" s="28" t="s">
        <v>20</v>
      </c>
      <c r="K579" s="1">
        <f t="shared" si="70"/>
        <v>1.6313939166241549E-3</v>
      </c>
      <c r="L579" s="1">
        <f t="shared" si="63"/>
        <v>1.7000000000000001E-3</v>
      </c>
      <c r="M579" s="22">
        <f t="shared" si="71"/>
        <v>3.986E-2</v>
      </c>
    </row>
    <row r="580" spans="1:13" x14ac:dyDescent="0.15">
      <c r="D580" s="20" t="s">
        <v>28</v>
      </c>
      <c r="E580" s="21">
        <v>4.82</v>
      </c>
      <c r="F580" s="22" t="s">
        <v>123</v>
      </c>
      <c r="G580" s="3">
        <f>3.406*E580^(0.33)/100</f>
        <v>5.7233481697197719E-2</v>
      </c>
      <c r="H580" s="41">
        <f>0.071*E580/100</f>
        <v>3.4221999999999998E-3</v>
      </c>
      <c r="I580" s="82">
        <v>9.6669999999999998</v>
      </c>
      <c r="J580" s="28" t="s">
        <v>20</v>
      </c>
      <c r="K580" s="1">
        <f t="shared" si="70"/>
        <v>6.9991824743976822E-4</v>
      </c>
      <c r="L580" s="1">
        <f t="shared" si="63"/>
        <v>7.0999999999999991E-4</v>
      </c>
      <c r="M580" s="22">
        <f t="shared" si="71"/>
        <v>3.406E-2</v>
      </c>
    </row>
    <row r="581" spans="1:13" x14ac:dyDescent="0.15">
      <c r="D581" s="20" t="s">
        <v>41</v>
      </c>
      <c r="E581" s="21">
        <v>9.7070000000000004E-2</v>
      </c>
      <c r="F581" s="1" t="s">
        <v>124</v>
      </c>
      <c r="G581" s="40">
        <v>5.7429999999999998E-3</v>
      </c>
      <c r="H581" s="41">
        <v>4.88E-5</v>
      </c>
      <c r="I581" s="82">
        <v>30</v>
      </c>
      <c r="J581" s="28" t="s">
        <v>43</v>
      </c>
      <c r="K581" s="1">
        <f t="shared" si="70"/>
        <v>4.3537694143072636E-4</v>
      </c>
      <c r="L581" s="1">
        <f t="shared" si="63"/>
        <v>5.0272998866797154E-4</v>
      </c>
      <c r="M581" s="22">
        <f t="shared" si="71"/>
        <v>1.2399402458228121E-2</v>
      </c>
    </row>
    <row r="582" spans="1:13" x14ac:dyDescent="0.15">
      <c r="D582" s="20" t="s">
        <v>41</v>
      </c>
      <c r="E582" s="21">
        <v>0.10265000000000001</v>
      </c>
      <c r="F582" s="1" t="s">
        <v>124</v>
      </c>
      <c r="G582" s="40">
        <v>6.0850000000000001E-3</v>
      </c>
      <c r="H582" s="41">
        <v>7.8200000000000003E-5</v>
      </c>
      <c r="I582" s="82">
        <v>25</v>
      </c>
      <c r="J582" s="28" t="s">
        <v>43</v>
      </c>
      <c r="K582" s="1">
        <f t="shared" si="70"/>
        <v>6.9043613196557259E-4</v>
      </c>
      <c r="L582" s="1">
        <f t="shared" ref="L582:L615" si="72">H582/E582</f>
        <v>7.6181198246468582E-4</v>
      </c>
      <c r="M582" s="22">
        <f t="shared" si="71"/>
        <v>1.2897695747145976E-2</v>
      </c>
    </row>
    <row r="583" spans="1:13" x14ac:dyDescent="0.15">
      <c r="D583" s="20" t="s">
        <v>42</v>
      </c>
      <c r="E583" s="21">
        <v>5.7000000000000002E-2</v>
      </c>
      <c r="F583" s="1" t="s">
        <v>124</v>
      </c>
      <c r="G583" s="40">
        <v>7.5709999999999996E-3</v>
      </c>
      <c r="H583" s="41">
        <v>1.43E-5</v>
      </c>
      <c r="I583" s="82">
        <v>16</v>
      </c>
      <c r="J583" s="28" t="s">
        <v>43</v>
      </c>
      <c r="K583" s="1">
        <f t="shared" si="70"/>
        <v>2.4115863599856073E-4</v>
      </c>
      <c r="L583" s="1">
        <f t="shared" si="72"/>
        <v>2.5087719298245612E-4</v>
      </c>
      <c r="M583" s="22">
        <f t="shared" si="71"/>
        <v>1.9485634130337791E-2</v>
      </c>
    </row>
    <row r="584" spans="1:13" x14ac:dyDescent="0.15">
      <c r="D584" s="20" t="s">
        <v>42</v>
      </c>
      <c r="E584" s="21">
        <v>5.1700000000000003E-2</v>
      </c>
      <c r="F584" s="1" t="s">
        <v>124</v>
      </c>
      <c r="G584" s="40">
        <v>6.7169999999999999E-3</v>
      </c>
      <c r="H584" s="41">
        <v>1.15E-5</v>
      </c>
      <c r="I584" s="82">
        <v>12</v>
      </c>
      <c r="J584" s="28" t="s">
        <v>43</v>
      </c>
      <c r="K584" s="1">
        <f t="shared" si="70"/>
        <v>2.1757635219417338E-4</v>
      </c>
      <c r="L584" s="1">
        <f t="shared" si="72"/>
        <v>2.2243713733075435E-4</v>
      </c>
      <c r="M584" s="22">
        <f t="shared" si="71"/>
        <v>1.7853504160096807E-2</v>
      </c>
    </row>
    <row r="585" spans="1:13" x14ac:dyDescent="0.15">
      <c r="A585" s="10"/>
      <c r="D585" s="68" t="s">
        <v>111</v>
      </c>
      <c r="E585" s="51">
        <v>0.89984193999999995</v>
      </c>
      <c r="F585" s="51" t="s">
        <v>120</v>
      </c>
      <c r="G585" s="74"/>
      <c r="H585" s="75">
        <v>9.5790646623000004E-4</v>
      </c>
      <c r="I585" s="90">
        <f>AVERAGE(I570:I584)</f>
        <v>8.6221999999999994</v>
      </c>
      <c r="J585" s="21" t="s">
        <v>206</v>
      </c>
      <c r="K585" s="8">
        <f t="shared" si="70"/>
        <v>1.0524965743264035E-3</v>
      </c>
      <c r="L585" s="8">
        <f t="shared" si="72"/>
        <v>1.064527472713708E-3</v>
      </c>
      <c r="M585" s="9"/>
    </row>
    <row r="588" spans="1:13" x14ac:dyDescent="0.15">
      <c r="A588" s="2" t="s">
        <v>197</v>
      </c>
      <c r="B588" s="49" t="s">
        <v>198</v>
      </c>
      <c r="C588" s="49" t="s">
        <v>199</v>
      </c>
      <c r="D588" s="20" t="s">
        <v>8</v>
      </c>
      <c r="E588" s="1">
        <v>17.100000000000001</v>
      </c>
      <c r="F588" s="1" t="s">
        <v>197</v>
      </c>
      <c r="G588" s="120">
        <v>1.7833333333333333E-2</v>
      </c>
      <c r="H588" s="121">
        <v>4.1200000000000004E-3</v>
      </c>
      <c r="I588" s="123">
        <v>19</v>
      </c>
      <c r="J588" s="1" t="s">
        <v>223</v>
      </c>
      <c r="K588" s="1">
        <f>H588*COS(RADIANS(I588))/E588</f>
        <v>2.2780915388708687E-4</v>
      </c>
      <c r="L588" s="1">
        <f t="shared" si="72"/>
        <v>2.4093567251461988E-4</v>
      </c>
      <c r="M588" s="22">
        <f>G588/(E588^0.33)</f>
        <v>6.9878538125984621E-3</v>
      </c>
    </row>
    <row r="589" spans="1:13" x14ac:dyDescent="0.15">
      <c r="D589" s="20" t="s">
        <v>11</v>
      </c>
      <c r="E589" s="1">
        <v>90</v>
      </c>
      <c r="F589" s="1" t="s">
        <v>197</v>
      </c>
      <c r="G589" s="120">
        <v>1.975E-2</v>
      </c>
      <c r="H589" s="121">
        <v>4.8670000000000005E-2</v>
      </c>
      <c r="I589" s="123">
        <v>20</v>
      </c>
      <c r="J589" s="1" t="s">
        <v>223</v>
      </c>
      <c r="K589" s="1">
        <f t="shared" ref="K589:K595" si="73">H589*COS(RADIANS(I589))/E589</f>
        <v>5.0816488726277971E-4</v>
      </c>
      <c r="L589" s="1">
        <f t="shared" si="72"/>
        <v>5.4077777777777783E-4</v>
      </c>
      <c r="M589" s="22">
        <f t="shared" ref="M589:M593" si="74">G589/(E589^0.33)</f>
        <v>4.4737022073631852E-3</v>
      </c>
    </row>
    <row r="590" spans="1:13" x14ac:dyDescent="0.15">
      <c r="D590" s="20" t="s">
        <v>12</v>
      </c>
      <c r="E590" s="1">
        <v>20.190000000000001</v>
      </c>
      <c r="F590" s="1" t="s">
        <v>197</v>
      </c>
      <c r="G590" s="120">
        <v>2.1999999999999999E-2</v>
      </c>
      <c r="H590" s="31">
        <v>5.0000000000000001E-3</v>
      </c>
      <c r="I590" s="123">
        <v>0</v>
      </c>
      <c r="J590" s="1" t="s">
        <v>223</v>
      </c>
      <c r="K590" s="1">
        <f t="shared" si="73"/>
        <v>2.4764735017335313E-4</v>
      </c>
      <c r="L590" s="1">
        <f t="shared" si="72"/>
        <v>2.4764735017335313E-4</v>
      </c>
      <c r="M590" s="22">
        <f t="shared" si="74"/>
        <v>8.1607053132757706E-3</v>
      </c>
    </row>
    <row r="591" spans="1:13" x14ac:dyDescent="0.15">
      <c r="D591" s="20" t="s">
        <v>13</v>
      </c>
      <c r="E591" s="1">
        <v>27.7</v>
      </c>
      <c r="F591" s="1" t="s">
        <v>197</v>
      </c>
      <c r="G591" s="120">
        <v>3.15E-2</v>
      </c>
      <c r="H591" s="121">
        <v>1.755E-2</v>
      </c>
      <c r="I591" s="123">
        <v>0</v>
      </c>
      <c r="J591" s="1" t="s">
        <v>223</v>
      </c>
      <c r="K591" s="1">
        <f t="shared" si="73"/>
        <v>6.3357400722021664E-4</v>
      </c>
      <c r="L591" s="1">
        <f t="shared" si="72"/>
        <v>6.3357400722021664E-4</v>
      </c>
      <c r="M591" s="22">
        <f t="shared" si="74"/>
        <v>1.0526699608010051E-2</v>
      </c>
    </row>
    <row r="592" spans="1:13" x14ac:dyDescent="0.15">
      <c r="D592" s="26" t="s">
        <v>14</v>
      </c>
      <c r="E592" s="42">
        <v>278</v>
      </c>
      <c r="F592" s="1" t="s">
        <v>197</v>
      </c>
      <c r="G592" s="120">
        <v>4.4999999999999998E-2</v>
      </c>
      <c r="H592" s="121">
        <v>8.7800000000000003E-2</v>
      </c>
      <c r="I592" s="123">
        <v>25</v>
      </c>
      <c r="J592" s="1" t="s">
        <v>223</v>
      </c>
      <c r="K592" s="1">
        <f t="shared" si="73"/>
        <v>2.8623677590581967E-4</v>
      </c>
      <c r="L592" s="1">
        <f t="shared" si="72"/>
        <v>3.1582733812949643E-4</v>
      </c>
      <c r="M592" s="22">
        <f t="shared" si="74"/>
        <v>7.0255079752688859E-3</v>
      </c>
    </row>
    <row r="593" spans="1:13" x14ac:dyDescent="0.15">
      <c r="D593" s="26" t="s">
        <v>15</v>
      </c>
      <c r="E593" s="42">
        <v>7.7</v>
      </c>
      <c r="F593" s="1" t="s">
        <v>197</v>
      </c>
      <c r="G593" s="30">
        <v>1.4999999999999999E-2</v>
      </c>
      <c r="H593" s="31">
        <v>2.7200000000000002E-3</v>
      </c>
      <c r="I593" s="123">
        <v>0</v>
      </c>
      <c r="J593" s="1" t="s">
        <v>223</v>
      </c>
      <c r="K593" s="1">
        <f t="shared" si="73"/>
        <v>3.5324675324675326E-4</v>
      </c>
      <c r="L593" s="1">
        <f t="shared" si="72"/>
        <v>3.5324675324675326E-4</v>
      </c>
      <c r="M593" s="22">
        <f t="shared" si="74"/>
        <v>7.6480253671535438E-3</v>
      </c>
    </row>
    <row r="594" spans="1:13" x14ac:dyDescent="0.15">
      <c r="D594" s="20" t="s">
        <v>14</v>
      </c>
      <c r="E594" s="1">
        <v>3.7</v>
      </c>
      <c r="F594" s="1" t="s">
        <v>197</v>
      </c>
      <c r="G594" s="30">
        <v>1.72E-2</v>
      </c>
      <c r="H594" s="31">
        <v>3.9100000000000003E-3</v>
      </c>
      <c r="I594" s="123">
        <v>0</v>
      </c>
      <c r="J594" s="1" t="s">
        <v>222</v>
      </c>
      <c r="K594" s="1">
        <f t="shared" si="73"/>
        <v>1.0567567567567567E-3</v>
      </c>
      <c r="L594" s="1">
        <f t="shared" si="72"/>
        <v>1.0567567567567567E-3</v>
      </c>
      <c r="M594" s="22">
        <f>H594/(E594^0.33)</f>
        <v>2.5390437747436065E-3</v>
      </c>
    </row>
    <row r="595" spans="1:13" x14ac:dyDescent="0.15">
      <c r="D595" s="68" t="s">
        <v>111</v>
      </c>
      <c r="E595" s="51">
        <v>0.89984193999999995</v>
      </c>
      <c r="F595" s="51" t="s">
        <v>197</v>
      </c>
      <c r="G595" s="51"/>
      <c r="H595" s="119">
        <v>3.6397993387660003E-4</v>
      </c>
      <c r="I595" s="51">
        <f>AVERAGE(I588:I594)</f>
        <v>9.1428571428571423</v>
      </c>
      <c r="J595" s="21" t="s">
        <v>206</v>
      </c>
      <c r="K595" s="77">
        <f t="shared" si="73"/>
        <v>3.9935419326339036E-4</v>
      </c>
      <c r="L595" s="77">
        <f t="shared" si="72"/>
        <v>4.0449318674410755E-4</v>
      </c>
    </row>
    <row r="597" spans="1:13" x14ac:dyDescent="0.15">
      <c r="J597" s="1"/>
    </row>
    <row r="598" spans="1:13" x14ac:dyDescent="0.15">
      <c r="A598" s="2" t="s">
        <v>205</v>
      </c>
      <c r="B598" s="49" t="s">
        <v>198</v>
      </c>
      <c r="C598" s="49" t="s">
        <v>199</v>
      </c>
      <c r="D598" s="20" t="s">
        <v>8</v>
      </c>
      <c r="E598" s="1">
        <v>17.100000000000001</v>
      </c>
      <c r="F598" s="1" t="s">
        <v>205</v>
      </c>
      <c r="G598" s="120">
        <v>2.2600000000000002E-2</v>
      </c>
      <c r="H598" s="121">
        <v>1.8100000000000002E-3</v>
      </c>
      <c r="I598" s="123">
        <v>19</v>
      </c>
      <c r="J598" s="1" t="s">
        <v>223</v>
      </c>
      <c r="K598" s="1">
        <f>H598*COS(RADIANS(I598))/E598</f>
        <v>1.0008120595524933E-4</v>
      </c>
      <c r="L598" s="1">
        <f t="shared" si="72"/>
        <v>1.0584795321637427E-4</v>
      </c>
      <c r="M598" s="22">
        <f>G598/(E598^0.33)</f>
        <v>8.8556352989565563E-3</v>
      </c>
    </row>
    <row r="599" spans="1:13" x14ac:dyDescent="0.15">
      <c r="D599" s="20" t="s">
        <v>11</v>
      </c>
      <c r="E599" s="1">
        <v>90</v>
      </c>
      <c r="F599" s="1" t="s">
        <v>205</v>
      </c>
      <c r="G599" s="120">
        <v>3.7999999999999999E-2</v>
      </c>
      <c r="H599" s="121">
        <v>4.9000000000000007E-3</v>
      </c>
      <c r="I599" s="123">
        <v>0</v>
      </c>
      <c r="J599" s="1" t="s">
        <v>223</v>
      </c>
      <c r="K599" s="1">
        <f t="shared" ref="K599:K604" si="75">H599*COS(RADIANS(I599))/E599</f>
        <v>5.4444444444444452E-5</v>
      </c>
      <c r="L599" s="1">
        <f t="shared" si="72"/>
        <v>5.4444444444444452E-5</v>
      </c>
      <c r="M599" s="22">
        <f t="shared" ref="M599:M603" si="76">G599/(E599^0.33)</f>
        <v>8.6076295635342283E-3</v>
      </c>
    </row>
    <row r="600" spans="1:13" x14ac:dyDescent="0.15">
      <c r="D600" s="20" t="s">
        <v>12</v>
      </c>
      <c r="E600" s="1">
        <v>20.190000000000001</v>
      </c>
      <c r="F600" s="1" t="s">
        <v>205</v>
      </c>
      <c r="G600" s="120">
        <v>2.5633333333333338E-2</v>
      </c>
      <c r="H600" s="121">
        <v>1.6000000000000001E-3</v>
      </c>
      <c r="I600" s="123">
        <v>0</v>
      </c>
      <c r="J600" s="1" t="s">
        <v>223</v>
      </c>
      <c r="K600" s="1">
        <f t="shared" si="75"/>
        <v>7.9247152055472999E-5</v>
      </c>
      <c r="L600" s="1">
        <f t="shared" si="72"/>
        <v>7.9247152055472999E-5</v>
      </c>
      <c r="M600" s="22">
        <f t="shared" si="76"/>
        <v>9.5084581604682871E-3</v>
      </c>
    </row>
    <row r="601" spans="1:13" x14ac:dyDescent="0.15">
      <c r="D601" s="20" t="s">
        <v>13</v>
      </c>
      <c r="E601" s="1">
        <v>27.7</v>
      </c>
      <c r="F601" s="1" t="s">
        <v>205</v>
      </c>
      <c r="G601" s="120">
        <v>4.3000000000000003E-2</v>
      </c>
      <c r="H601" s="121">
        <v>2.5699999999999998E-3</v>
      </c>
      <c r="I601" s="123">
        <v>0</v>
      </c>
      <c r="J601" s="1" t="s">
        <v>223</v>
      </c>
      <c r="K601" s="1">
        <f t="shared" si="75"/>
        <v>9.2779783393501803E-5</v>
      </c>
      <c r="L601" s="1">
        <f t="shared" si="72"/>
        <v>9.2779783393501803E-5</v>
      </c>
      <c r="M601" s="22">
        <f t="shared" si="76"/>
        <v>1.4369780417283562E-2</v>
      </c>
    </row>
    <row r="602" spans="1:13" x14ac:dyDescent="0.15">
      <c r="D602" s="26" t="s">
        <v>15</v>
      </c>
      <c r="E602" s="42">
        <v>7.7</v>
      </c>
      <c r="F602" s="1" t="s">
        <v>205</v>
      </c>
      <c r="G602" s="30">
        <v>3.2500000000000001E-2</v>
      </c>
      <c r="H602" s="31">
        <v>6.8799999999999992E-4</v>
      </c>
      <c r="I602" s="123">
        <v>0</v>
      </c>
      <c r="J602" s="1" t="s">
        <v>223</v>
      </c>
      <c r="K602" s="1">
        <f t="shared" si="75"/>
        <v>8.9350649350649331E-5</v>
      </c>
      <c r="L602" s="1">
        <f t="shared" si="72"/>
        <v>8.9350649350649331E-5</v>
      </c>
      <c r="M602" s="22">
        <f t="shared" si="76"/>
        <v>1.657072162883268E-2</v>
      </c>
    </row>
    <row r="603" spans="1:13" x14ac:dyDescent="0.15">
      <c r="D603" s="20" t="s">
        <v>14</v>
      </c>
      <c r="E603" s="1">
        <v>3.7</v>
      </c>
      <c r="F603" s="1" t="s">
        <v>205</v>
      </c>
      <c r="G603" s="30">
        <v>6.4000000000000001E-2</v>
      </c>
      <c r="H603" s="122">
        <v>6.7170000000000001E-4</v>
      </c>
      <c r="I603" s="123">
        <v>0</v>
      </c>
      <c r="J603" s="1" t="s">
        <v>222</v>
      </c>
      <c r="K603" s="1">
        <f t="shared" si="75"/>
        <v>1.8154054054054052E-4</v>
      </c>
      <c r="L603" s="1">
        <f t="shared" si="72"/>
        <v>1.8154054054054052E-4</v>
      </c>
      <c r="M603" s="22">
        <f t="shared" si="76"/>
        <v>4.155979580142987E-2</v>
      </c>
    </row>
    <row r="604" spans="1:13" x14ac:dyDescent="0.15">
      <c r="D604" s="68" t="s">
        <v>111</v>
      </c>
      <c r="E604" s="51">
        <v>0.89984193999999995</v>
      </c>
      <c r="F604" s="1" t="s">
        <v>205</v>
      </c>
      <c r="H604" s="72">
        <v>1.9262811659799999E-5</v>
      </c>
      <c r="I604" s="50">
        <f>AVERAGE(I598:I603)</f>
        <v>3.1666666666666665</v>
      </c>
      <c r="J604" s="21" t="s">
        <v>206</v>
      </c>
      <c r="K604" s="102">
        <f t="shared" si="75"/>
        <v>2.1374196796288357E-5</v>
      </c>
      <c r="L604" s="102">
        <f t="shared" si="72"/>
        <v>2.1406883590911533E-5</v>
      </c>
    </row>
    <row r="607" spans="1:13" x14ac:dyDescent="0.15">
      <c r="A607" s="2" t="s">
        <v>200</v>
      </c>
      <c r="B607" s="49" t="s">
        <v>118</v>
      </c>
      <c r="C607" s="49" t="s">
        <v>199</v>
      </c>
      <c r="D607" s="20" t="s">
        <v>8</v>
      </c>
      <c r="E607" s="1">
        <v>17.100000000000001</v>
      </c>
      <c r="F607" s="1" t="s">
        <v>201</v>
      </c>
      <c r="G607" s="120">
        <v>9.4999999999999998E-3</v>
      </c>
      <c r="H607" s="121">
        <v>1.1220000000000001E-2</v>
      </c>
      <c r="I607" s="123">
        <v>43</v>
      </c>
      <c r="J607" s="1" t="s">
        <v>223</v>
      </c>
      <c r="K607" s="1">
        <f>H607*COS(RADIANS(I607))/E607</f>
        <v>4.7987067439573644E-4</v>
      </c>
      <c r="L607" s="1">
        <f t="shared" si="72"/>
        <v>6.5614035087719301E-4</v>
      </c>
      <c r="M607" s="22">
        <f>G607/(E607^0.33)</f>
        <v>3.7225015637206761E-3</v>
      </c>
    </row>
    <row r="608" spans="1:13" x14ac:dyDescent="0.15">
      <c r="D608" s="20" t="s">
        <v>11</v>
      </c>
      <c r="E608" s="1">
        <v>90</v>
      </c>
      <c r="F608" s="1" t="s">
        <v>201</v>
      </c>
      <c r="G608" s="120">
        <v>1.5291666666666667E-2</v>
      </c>
      <c r="H608" s="121">
        <v>8.097E-2</v>
      </c>
      <c r="I608" s="123">
        <v>28</v>
      </c>
      <c r="J608" s="1" t="s">
        <v>223</v>
      </c>
      <c r="K608" s="1">
        <f t="shared" ref="K608:K615" si="77">H608*COS(RADIANS(I608))/E608</f>
        <v>7.9435851770874805E-4</v>
      </c>
      <c r="L608" s="1">
        <f t="shared" si="72"/>
        <v>8.9966666666666667E-4</v>
      </c>
      <c r="M608" s="22">
        <f t="shared" ref="M608:M612" si="78">G608/(E608^0.33)</f>
        <v>3.4638158440976558E-3</v>
      </c>
    </row>
    <row r="609" spans="4:13" x14ac:dyDescent="0.15">
      <c r="D609" s="20" t="s">
        <v>13</v>
      </c>
      <c r="E609" s="1">
        <v>27.7</v>
      </c>
      <c r="F609" s="1" t="s">
        <v>201</v>
      </c>
      <c r="G609" s="120">
        <v>1.9307692307692307E-2</v>
      </c>
      <c r="H609" s="121">
        <v>3.9119999999999995E-2</v>
      </c>
      <c r="I609" s="123">
        <v>31</v>
      </c>
      <c r="J609" s="1" t="s">
        <v>223</v>
      </c>
      <c r="K609" s="1">
        <f t="shared" si="77"/>
        <v>1.2105554080673875E-3</v>
      </c>
      <c r="L609" s="1">
        <f t="shared" si="72"/>
        <v>1.4122743682310468E-3</v>
      </c>
      <c r="M609" s="22">
        <f t="shared" si="78"/>
        <v>6.4522627633956595E-3</v>
      </c>
    </row>
    <row r="610" spans="4:13" x14ac:dyDescent="0.15">
      <c r="D610" s="26" t="s">
        <v>14</v>
      </c>
      <c r="E610" s="42">
        <v>278</v>
      </c>
      <c r="F610" s="1" t="s">
        <v>201</v>
      </c>
      <c r="G610" s="120">
        <v>2.4E-2</v>
      </c>
      <c r="H610" s="121">
        <v>0.1426</v>
      </c>
      <c r="I610" s="123">
        <v>24</v>
      </c>
      <c r="J610" s="1" t="s">
        <v>223</v>
      </c>
      <c r="K610" s="1">
        <f t="shared" si="77"/>
        <v>4.6860281388429821E-4</v>
      </c>
      <c r="L610" s="1">
        <f t="shared" si="72"/>
        <v>5.1294964028776981E-4</v>
      </c>
      <c r="M610" s="22">
        <f t="shared" si="78"/>
        <v>3.7469375868100729E-3</v>
      </c>
    </row>
    <row r="611" spans="4:13" x14ac:dyDescent="0.15">
      <c r="D611" s="26" t="s">
        <v>15</v>
      </c>
      <c r="E611" s="42">
        <v>7.7</v>
      </c>
      <c r="F611" s="1" t="s">
        <v>201</v>
      </c>
      <c r="G611" s="30">
        <v>8.7500000000000008E-3</v>
      </c>
      <c r="H611" s="31">
        <v>9.4220000000000016E-3</v>
      </c>
      <c r="I611" s="123">
        <v>24</v>
      </c>
      <c r="J611" s="1" t="s">
        <v>223</v>
      </c>
      <c r="K611" s="1">
        <f t="shared" si="77"/>
        <v>1.11784744180631E-3</v>
      </c>
      <c r="L611" s="1">
        <f t="shared" si="72"/>
        <v>1.2236363636363638E-3</v>
      </c>
      <c r="M611" s="22">
        <f t="shared" si="78"/>
        <v>4.4613481308395679E-3</v>
      </c>
    </row>
    <row r="612" spans="4:13" x14ac:dyDescent="0.15">
      <c r="D612" s="20" t="s">
        <v>14</v>
      </c>
      <c r="E612" s="1">
        <v>3.7</v>
      </c>
      <c r="F612" s="1" t="s">
        <v>201</v>
      </c>
      <c r="G612" s="30">
        <v>3.6810000000000002E-2</v>
      </c>
      <c r="H612" s="31">
        <v>3.0000000000000001E-3</v>
      </c>
      <c r="I612" s="123">
        <v>30</v>
      </c>
      <c r="J612" s="1" t="s">
        <v>222</v>
      </c>
      <c r="K612" s="1">
        <f t="shared" si="77"/>
        <v>7.0218275982522063E-4</v>
      </c>
      <c r="L612" s="1">
        <f t="shared" si="72"/>
        <v>8.1081081081081077E-4</v>
      </c>
      <c r="M612" s="22">
        <f t="shared" si="78"/>
        <v>2.390337630391615E-2</v>
      </c>
    </row>
    <row r="613" spans="4:13" x14ac:dyDescent="0.15">
      <c r="D613" s="68" t="s">
        <v>111</v>
      </c>
      <c r="E613" s="51">
        <v>0.89984193999999995</v>
      </c>
      <c r="F613" s="1" t="s">
        <v>202</v>
      </c>
      <c r="H613" s="32">
        <v>2.5687934E-4</v>
      </c>
      <c r="I613" s="50">
        <f>AVERAGE(I607:I612)</f>
        <v>30</v>
      </c>
      <c r="J613" s="21" t="s">
        <v>206</v>
      </c>
      <c r="K613" s="8">
        <f t="shared" si="77"/>
        <v>2.4722567848680196E-4</v>
      </c>
      <c r="L613" s="8">
        <f t="shared" si="72"/>
        <v>2.8547162404988591E-4</v>
      </c>
    </row>
    <row r="614" spans="4:13" x14ac:dyDescent="0.15">
      <c r="D614" s="68" t="s">
        <v>111</v>
      </c>
      <c r="E614" s="51">
        <v>0.89984193999999995</v>
      </c>
      <c r="F614" s="22" t="s">
        <v>203</v>
      </c>
      <c r="H614" s="32">
        <v>1.7923586440719998E-4</v>
      </c>
      <c r="I614" s="50">
        <v>30</v>
      </c>
      <c r="J614" s="21" t="s">
        <v>206</v>
      </c>
      <c r="K614" s="8">
        <f t="shared" si="77"/>
        <v>1.7250008578828662E-4</v>
      </c>
      <c r="L614" s="8">
        <f t="shared" si="72"/>
        <v>1.9918594193020164E-4</v>
      </c>
    </row>
    <row r="615" spans="4:13" x14ac:dyDescent="0.15">
      <c r="D615" s="68" t="s">
        <v>111</v>
      </c>
      <c r="E615" s="51">
        <v>0.89984193999999995</v>
      </c>
      <c r="F615" s="22" t="s">
        <v>201</v>
      </c>
      <c r="H615" s="32">
        <f>H613+H614</f>
        <v>4.3611520440719998E-4</v>
      </c>
      <c r="I615" s="50">
        <v>30</v>
      </c>
      <c r="J615" s="21" t="s">
        <v>206</v>
      </c>
      <c r="K615" s="8">
        <f t="shared" si="77"/>
        <v>4.1972576427508855E-4</v>
      </c>
      <c r="L615" s="8">
        <f t="shared" si="72"/>
        <v>4.8465756598008755E-4</v>
      </c>
    </row>
    <row r="628" spans="4:15" x14ac:dyDescent="0.15">
      <c r="K628" s="1"/>
      <c r="L628" s="1"/>
    </row>
    <row r="629" spans="4:15" x14ac:dyDescent="0.15">
      <c r="K629" s="1"/>
      <c r="L629" s="1"/>
    </row>
    <row r="630" spans="4:15" x14ac:dyDescent="0.15">
      <c r="K630" s="1"/>
      <c r="L630" s="1"/>
    </row>
    <row r="631" spans="4:15" x14ac:dyDescent="0.15">
      <c r="D631" s="60"/>
      <c r="E631" s="22"/>
      <c r="G631" s="22"/>
      <c r="H631" s="22"/>
      <c r="I631" s="117"/>
      <c r="J631" s="22"/>
      <c r="K631" s="9"/>
      <c r="L631" s="9"/>
      <c r="N631" s="9"/>
      <c r="O631" s="9"/>
    </row>
    <row r="632" spans="4:15" x14ac:dyDescent="0.15">
      <c r="D632" s="60"/>
      <c r="E632" s="22"/>
      <c r="G632" s="22"/>
      <c r="H632" s="22"/>
      <c r="I632" s="117"/>
      <c r="J632" s="22"/>
      <c r="K632" s="9"/>
      <c r="L632" s="9"/>
      <c r="N632" s="9"/>
      <c r="O632" s="9"/>
    </row>
    <row r="633" spans="4:15" x14ac:dyDescent="0.15">
      <c r="D633" s="60"/>
      <c r="E633" s="22"/>
      <c r="G633" s="22"/>
      <c r="H633" s="22"/>
      <c r="I633" s="117"/>
      <c r="J633" s="22"/>
      <c r="N633" s="9"/>
      <c r="O633" s="9"/>
    </row>
    <row r="634" spans="4:15" x14ac:dyDescent="0.15">
      <c r="D634" s="60"/>
      <c r="E634" s="22"/>
      <c r="G634" s="22"/>
      <c r="H634" s="22"/>
      <c r="I634" s="117"/>
      <c r="J634" s="22"/>
      <c r="N634" s="9"/>
      <c r="O634" s="9"/>
    </row>
    <row r="635" spans="4:15" x14ac:dyDescent="0.15">
      <c r="D635" s="60"/>
      <c r="E635" s="22"/>
      <c r="G635" s="22"/>
      <c r="H635" s="22"/>
      <c r="I635" s="117"/>
      <c r="J635" s="22"/>
      <c r="N635" s="9"/>
      <c r="O635" s="9"/>
    </row>
    <row r="636" spans="4:15" x14ac:dyDescent="0.15">
      <c r="D636" s="60"/>
      <c r="E636" s="22"/>
      <c r="G636" s="22"/>
      <c r="H636" s="22"/>
      <c r="I636" s="117"/>
      <c r="J636" s="22"/>
      <c r="N636" s="9"/>
      <c r="O636" s="9"/>
    </row>
    <row r="637" spans="4:15" x14ac:dyDescent="0.15">
      <c r="D637" s="60"/>
      <c r="E637" s="22"/>
      <c r="G637" s="22"/>
      <c r="H637" s="118"/>
      <c r="I637" s="117"/>
      <c r="J637" s="22"/>
      <c r="K637" s="9"/>
      <c r="L637" s="9"/>
      <c r="N637" s="9"/>
      <c r="O637" s="9"/>
    </row>
    <row r="638" spans="4:15" x14ac:dyDescent="0.15">
      <c r="D638" s="60"/>
      <c r="E638" s="22"/>
      <c r="G638" s="22"/>
      <c r="H638" s="22"/>
      <c r="I638" s="117"/>
      <c r="J638" s="22"/>
      <c r="K638" s="9"/>
      <c r="L638" s="9"/>
      <c r="N638" s="9"/>
      <c r="O638" s="9"/>
    </row>
    <row r="639" spans="4:15" x14ac:dyDescent="0.15">
      <c r="D639" s="60"/>
      <c r="E639" s="22"/>
      <c r="G639" s="22"/>
      <c r="H639" s="22"/>
      <c r="I639" s="117"/>
      <c r="J639" s="22"/>
      <c r="K639" s="9"/>
      <c r="L639" s="9"/>
      <c r="N639" s="9"/>
      <c r="O639" s="9"/>
    </row>
    <row r="640" spans="4:15" x14ac:dyDescent="0.15">
      <c r="D640" s="60"/>
      <c r="E640" s="22"/>
      <c r="G640" s="22"/>
      <c r="H640" s="22"/>
      <c r="I640" s="117"/>
      <c r="J640" s="22"/>
      <c r="K640" s="9"/>
      <c r="L640" s="9"/>
      <c r="N640" s="9"/>
      <c r="O640" s="9"/>
    </row>
    <row r="641" spans="4:15" x14ac:dyDescent="0.15">
      <c r="D641" s="60"/>
      <c r="E641" s="22"/>
      <c r="G641" s="22"/>
      <c r="H641" s="118"/>
      <c r="I641" s="117"/>
      <c r="J641" s="22"/>
      <c r="K641" s="9"/>
      <c r="L641" s="9"/>
      <c r="N641" s="9"/>
      <c r="O641" s="9"/>
    </row>
    <row r="642" spans="4:15" x14ac:dyDescent="0.15">
      <c r="D642" s="60"/>
      <c r="E642" s="22"/>
      <c r="G642" s="22"/>
      <c r="H642" s="22"/>
      <c r="I642" s="117"/>
      <c r="J642" s="22"/>
      <c r="K642" s="9"/>
      <c r="L642" s="9"/>
      <c r="N642" s="9"/>
      <c r="O642" s="9"/>
    </row>
    <row r="643" spans="4:15" x14ac:dyDescent="0.15">
      <c r="D643" s="60"/>
      <c r="E643" s="22"/>
      <c r="G643" s="22"/>
      <c r="H643" s="22"/>
      <c r="I643" s="117"/>
      <c r="J643" s="22"/>
      <c r="K643" s="9"/>
      <c r="L643" s="9"/>
      <c r="N643" s="9"/>
      <c r="O643" s="9"/>
    </row>
    <row r="644" spans="4:15" x14ac:dyDescent="0.15">
      <c r="D644" s="60"/>
      <c r="E644" s="22"/>
      <c r="G644" s="22"/>
      <c r="H644" s="22"/>
      <c r="I644" s="117"/>
      <c r="J644" s="22"/>
      <c r="K644" s="9"/>
      <c r="L644" s="9"/>
      <c r="N644" s="9"/>
      <c r="O644" s="9"/>
    </row>
    <row r="645" spans="4:15" x14ac:dyDescent="0.15">
      <c r="D645" s="60"/>
      <c r="E645" s="22"/>
      <c r="G645" s="22"/>
      <c r="H645" s="22"/>
      <c r="I645" s="117"/>
      <c r="J645" s="22"/>
      <c r="N645" s="9"/>
      <c r="O645" s="9"/>
    </row>
    <row r="646" spans="4:15" x14ac:dyDescent="0.15">
      <c r="D646" s="60"/>
      <c r="E646" s="22"/>
      <c r="G646" s="22"/>
      <c r="H646" s="22"/>
      <c r="I646" s="117"/>
      <c r="J646" s="22"/>
      <c r="N646" s="9"/>
      <c r="O646" s="9"/>
    </row>
    <row r="647" spans="4:15" x14ac:dyDescent="0.15">
      <c r="D647" s="60"/>
      <c r="E647" s="22"/>
      <c r="G647" s="22"/>
      <c r="H647" s="22"/>
      <c r="I647" s="117"/>
      <c r="J647" s="22"/>
      <c r="N647" s="9"/>
      <c r="O647" s="9"/>
    </row>
  </sheetData>
  <mergeCells count="3">
    <mergeCell ref="X2:Y2"/>
    <mergeCell ref="Z2:AA2"/>
    <mergeCell ref="AB2:AC2"/>
  </mergeCells>
  <phoneticPr fontId="15" type="noConversion"/>
  <pageMargins left="0.75" right="0.75" top="1" bottom="1" header="0.5" footer="0.5"/>
  <pageSetup paperSize="9" orientation="portrait" horizontalDpi="4294967292" verticalDpi="4294967292"/>
  <ignoredErrors>
    <ignoredError sqref="G308 G405 G578 G221 G187 G141 G100 G78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workbookViewId="0">
      <selection activeCell="B54" sqref="B54"/>
    </sheetView>
  </sheetViews>
  <sheetFormatPr baseColWidth="10" defaultRowHeight="16" x14ac:dyDescent="0.2"/>
  <cols>
    <col min="1" max="1" width="26.83203125" customWidth="1"/>
    <col min="6" max="6" width="10.83203125" customWidth="1"/>
    <col min="7" max="8" width="13.83203125" bestFit="1" customWidth="1"/>
    <col min="9" max="9" width="18.33203125" bestFit="1" customWidth="1"/>
    <col min="10" max="10" width="19.1640625" bestFit="1" customWidth="1"/>
    <col min="11" max="12" width="12.83203125" bestFit="1" customWidth="1"/>
  </cols>
  <sheetData>
    <row r="1" spans="1:12" x14ac:dyDescent="0.2">
      <c r="A1" s="1" t="s">
        <v>138</v>
      </c>
      <c r="B1" s="1" t="s">
        <v>139</v>
      </c>
      <c r="C1" s="1" t="s">
        <v>140</v>
      </c>
      <c r="D1" s="1" t="s">
        <v>141</v>
      </c>
      <c r="E1" s="1" t="s">
        <v>142</v>
      </c>
      <c r="F1" s="1" t="s">
        <v>143</v>
      </c>
      <c r="G1" s="1" t="s">
        <v>187</v>
      </c>
      <c r="H1" s="1" t="s">
        <v>187</v>
      </c>
      <c r="I1" s="1" t="s">
        <v>20</v>
      </c>
      <c r="J1" s="1" t="s">
        <v>144</v>
      </c>
      <c r="K1" s="1" t="s">
        <v>145</v>
      </c>
      <c r="L1" s="1" t="s">
        <v>145</v>
      </c>
    </row>
    <row r="2" spans="1:12" x14ac:dyDescent="0.2">
      <c r="A2" s="1"/>
      <c r="B2" s="99" t="s">
        <v>111</v>
      </c>
      <c r="C2" s="99" t="s">
        <v>146</v>
      </c>
      <c r="D2" s="99" t="s">
        <v>147</v>
      </c>
      <c r="E2" s="99" t="s">
        <v>146</v>
      </c>
      <c r="F2" s="99" t="s">
        <v>148</v>
      </c>
      <c r="G2" s="1" t="s">
        <v>191</v>
      </c>
      <c r="H2" s="1" t="s">
        <v>192</v>
      </c>
      <c r="I2" s="99" t="s">
        <v>149</v>
      </c>
      <c r="J2" s="99" t="s">
        <v>149</v>
      </c>
      <c r="K2" s="99" t="s">
        <v>150</v>
      </c>
      <c r="L2" s="99" t="s">
        <v>151</v>
      </c>
    </row>
    <row r="3" spans="1:12" x14ac:dyDescent="0.2">
      <c r="A3" s="1" t="s">
        <v>152</v>
      </c>
      <c r="B3" s="1" t="s">
        <v>84</v>
      </c>
      <c r="C3" s="1" t="s">
        <v>84</v>
      </c>
      <c r="D3" s="1" t="s">
        <v>84</v>
      </c>
      <c r="E3" s="1" t="s">
        <v>84</v>
      </c>
      <c r="F3" s="1" t="s">
        <v>84</v>
      </c>
      <c r="G3" s="1" t="s">
        <v>84</v>
      </c>
      <c r="H3" s="1" t="s">
        <v>84</v>
      </c>
      <c r="I3" s="1" t="s">
        <v>84</v>
      </c>
      <c r="J3" s="1" t="s">
        <v>84</v>
      </c>
      <c r="K3" s="1" t="s">
        <v>85</v>
      </c>
      <c r="L3" s="1" t="s">
        <v>85</v>
      </c>
    </row>
    <row r="4" spans="1:12" x14ac:dyDescent="0.2">
      <c r="A4" s="1" t="s">
        <v>153</v>
      </c>
      <c r="B4" s="1" t="s">
        <v>83</v>
      </c>
      <c r="C4" s="1" t="s">
        <v>154</v>
      </c>
      <c r="D4" s="1" t="s">
        <v>83</v>
      </c>
      <c r="E4" s="1" t="s">
        <v>154</v>
      </c>
      <c r="F4" s="1" t="s">
        <v>155</v>
      </c>
      <c r="G4" s="1" t="s">
        <v>188</v>
      </c>
      <c r="H4" s="1" t="s">
        <v>188</v>
      </c>
      <c r="I4" s="1" t="s">
        <v>156</v>
      </c>
      <c r="J4" s="1" t="s">
        <v>157</v>
      </c>
      <c r="K4" s="1" t="s">
        <v>93</v>
      </c>
      <c r="L4" s="51" t="s">
        <v>93</v>
      </c>
    </row>
    <row r="5" spans="1:12" x14ac:dyDescent="0.2">
      <c r="A5" s="1" t="s">
        <v>158</v>
      </c>
      <c r="B5" s="1" t="s">
        <v>94</v>
      </c>
      <c r="C5" s="1" t="s">
        <v>154</v>
      </c>
      <c r="D5" s="1" t="s">
        <v>94</v>
      </c>
      <c r="E5" s="1" t="s">
        <v>159</v>
      </c>
      <c r="F5" s="1" t="s">
        <v>88</v>
      </c>
      <c r="G5" s="1" t="s">
        <v>194</v>
      </c>
      <c r="H5" s="1" t="s">
        <v>189</v>
      </c>
      <c r="I5" s="1" t="s">
        <v>160</v>
      </c>
      <c r="J5" s="1" t="s">
        <v>161</v>
      </c>
      <c r="K5" s="1" t="s">
        <v>89</v>
      </c>
      <c r="L5" s="1" t="s">
        <v>162</v>
      </c>
    </row>
    <row r="6" spans="1:12" x14ac:dyDescent="0.2">
      <c r="A6" s="1" t="s">
        <v>163</v>
      </c>
      <c r="B6" s="1" t="s">
        <v>114</v>
      </c>
      <c r="C6" s="1" t="s">
        <v>164</v>
      </c>
      <c r="D6" s="1" t="s">
        <v>114</v>
      </c>
      <c r="E6" s="1" t="s">
        <v>164</v>
      </c>
      <c r="F6" s="1" t="s">
        <v>165</v>
      </c>
      <c r="G6" s="1" t="s">
        <v>189</v>
      </c>
      <c r="H6" s="1" t="s">
        <v>91</v>
      </c>
      <c r="I6" s="1" t="s">
        <v>166</v>
      </c>
      <c r="J6" s="1" t="s">
        <v>167</v>
      </c>
      <c r="K6" s="1" t="s">
        <v>88</v>
      </c>
      <c r="L6" s="1" t="s">
        <v>168</v>
      </c>
    </row>
    <row r="7" spans="1:12" x14ac:dyDescent="0.2">
      <c r="A7" s="1" t="s">
        <v>169</v>
      </c>
      <c r="B7" s="1" t="s">
        <v>170</v>
      </c>
      <c r="C7" s="1" t="s">
        <v>164</v>
      </c>
      <c r="D7" s="1" t="s">
        <v>171</v>
      </c>
      <c r="E7" s="1" t="s">
        <v>164</v>
      </c>
      <c r="F7" s="1" t="s">
        <v>168</v>
      </c>
      <c r="G7" s="1" t="s">
        <v>170</v>
      </c>
      <c r="H7" s="1" t="s">
        <v>190</v>
      </c>
      <c r="I7" s="1" t="s">
        <v>168</v>
      </c>
      <c r="J7" s="1" t="s">
        <v>168</v>
      </c>
      <c r="K7" s="1" t="s">
        <v>168</v>
      </c>
      <c r="L7" s="1" t="s">
        <v>168</v>
      </c>
    </row>
    <row r="8" spans="1:12" x14ac:dyDescent="0.2">
      <c r="A8" s="1" t="s">
        <v>172</v>
      </c>
      <c r="B8" s="1" t="s">
        <v>51</v>
      </c>
      <c r="C8" s="1" t="s">
        <v>51</v>
      </c>
      <c r="D8" s="1" t="s">
        <v>51</v>
      </c>
      <c r="E8" s="1" t="s">
        <v>173</v>
      </c>
      <c r="F8" s="1" t="s">
        <v>51</v>
      </c>
      <c r="G8" s="1" t="s">
        <v>193</v>
      </c>
      <c r="H8" s="1" t="s">
        <v>51</v>
      </c>
      <c r="I8" s="1" t="s">
        <v>51</v>
      </c>
      <c r="J8" s="1" t="s">
        <v>51</v>
      </c>
      <c r="K8" s="1" t="s">
        <v>51</v>
      </c>
      <c r="L8" s="1" t="s">
        <v>51</v>
      </c>
    </row>
    <row r="9" spans="1:12" x14ac:dyDescent="0.2">
      <c r="A9" s="1" t="s">
        <v>174</v>
      </c>
      <c r="B9" s="1" t="s">
        <v>175</v>
      </c>
      <c r="C9" s="1" t="s">
        <v>176</v>
      </c>
      <c r="D9" s="1" t="s">
        <v>177</v>
      </c>
      <c r="E9" s="1" t="s">
        <v>176</v>
      </c>
      <c r="F9" s="1" t="s">
        <v>176</v>
      </c>
      <c r="G9" s="1" t="s">
        <v>176</v>
      </c>
      <c r="H9" s="1" t="s">
        <v>168</v>
      </c>
      <c r="I9" s="1" t="s">
        <v>178</v>
      </c>
      <c r="J9" s="1" t="s">
        <v>179</v>
      </c>
      <c r="K9" s="1" t="s">
        <v>180</v>
      </c>
      <c r="L9" s="1" t="s">
        <v>180</v>
      </c>
    </row>
    <row r="10" spans="1:12" x14ac:dyDescent="0.2">
      <c r="A10" s="1" t="s">
        <v>181</v>
      </c>
      <c r="B10" s="1"/>
      <c r="C10" s="1"/>
      <c r="D10" s="1"/>
      <c r="E10" s="1"/>
      <c r="F10" s="1"/>
      <c r="I10" s="1"/>
      <c r="J10" s="1"/>
      <c r="K10" s="1"/>
      <c r="L10" s="1"/>
    </row>
    <row r="11" spans="1:12" x14ac:dyDescent="0.2">
      <c r="A11" s="1" t="s">
        <v>182</v>
      </c>
      <c r="B11" s="1"/>
      <c r="C11" s="1"/>
      <c r="D11" s="1"/>
      <c r="E11" s="1"/>
      <c r="F11" s="1"/>
      <c r="I11" s="1"/>
      <c r="J11" s="1"/>
      <c r="K11" s="1"/>
      <c r="L11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Saurian_muscle_architecture</vt:lpstr>
      <vt:lpstr>Flexor_tibialis_homologies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</dc:creator>
  <cp:lastModifiedBy>Oliver Demuth</cp:lastModifiedBy>
  <dcterms:created xsi:type="dcterms:W3CDTF">2021-01-25T17:35:35Z</dcterms:created>
  <dcterms:modified xsi:type="dcterms:W3CDTF">2022-08-19T15:31:02Z</dcterms:modified>
</cp:coreProperties>
</file>