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kgau\OneDrive - Georgia Institute of Technology\phd\Research\Grubbly\grubbly writeups\Eating rates latex\latex files\Supplementary\"/>
    </mc:Choice>
  </mc:AlternateContent>
  <xr:revisionPtr revIDLastSave="0" documentId="13_ncr:1_{7057D9C1-A8F8-4260-A8E1-BF42706F00A8}" xr6:coauthVersionLast="40" xr6:coauthVersionMax="40" xr10:uidLastSave="{00000000-0000-0000-0000-000000000000}"/>
  <bookViews>
    <workbookView xWindow="0" yWindow="0" windowWidth="24525" windowHeight="11775" activeTab="3" xr2:uid="{7B7866E5-8153-4940-9BE3-3A983A0C2DA1}"/>
  </bookViews>
  <sheets>
    <sheet name="Larva eating timing" sheetId="4" r:id="rId1"/>
    <sheet name="larva size" sheetId="8" r:id="rId2"/>
    <sheet name="PIV data M" sheetId="9" r:id="rId3"/>
    <sheet name="Group feeding raw data (4)" sheetId="11" r:id="rId4"/>
    <sheet name="orange calculations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11" l="1"/>
  <c r="F8" i="11" l="1"/>
  <c r="F9" i="11"/>
  <c r="F10" i="11"/>
  <c r="F11" i="11"/>
  <c r="F12" i="11"/>
  <c r="F13" i="11"/>
  <c r="F14" i="11"/>
  <c r="F15" i="11"/>
  <c r="F16" i="11"/>
  <c r="F17" i="11"/>
  <c r="F18" i="11"/>
  <c r="F7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19" i="11"/>
  <c r="B35" i="11" l="1"/>
  <c r="D20" i="9" l="1"/>
  <c r="D21" i="9"/>
  <c r="D19" i="9"/>
  <c r="G26" i="11" l="1"/>
  <c r="H26" i="11" s="1"/>
  <c r="D63" i="4"/>
  <c r="B70" i="4"/>
  <c r="B69" i="4"/>
  <c r="AA65" i="4"/>
  <c r="B37" i="11"/>
  <c r="B49" i="11"/>
  <c r="B50" i="11"/>
  <c r="C3" i="11"/>
  <c r="E7" i="11"/>
  <c r="G7" i="11"/>
  <c r="I2" i="11" s="1"/>
  <c r="E8" i="11"/>
  <c r="G8" i="11"/>
  <c r="H8" i="11" s="1"/>
  <c r="I3" i="11"/>
  <c r="E9" i="11"/>
  <c r="G9" i="11"/>
  <c r="I4" i="11" s="1"/>
  <c r="B43" i="11"/>
  <c r="E20" i="11"/>
  <c r="E19" i="11"/>
  <c r="B46" i="11"/>
  <c r="A51" i="11" s="1"/>
  <c r="A65" i="11" s="1"/>
  <c r="G6" i="9"/>
  <c r="F6" i="9"/>
  <c r="B53" i="11"/>
  <c r="B52" i="11"/>
  <c r="C53" i="11"/>
  <c r="E10" i="11"/>
  <c r="G10" i="11"/>
  <c r="H10" i="11" s="1"/>
  <c r="B72" i="4"/>
  <c r="C67" i="4"/>
  <c r="U3" i="11"/>
  <c r="F5" i="9"/>
  <c r="G5" i="9"/>
  <c r="G7" i="9"/>
  <c r="F7" i="9"/>
  <c r="M5" i="9"/>
  <c r="B78" i="4"/>
  <c r="B77" i="4"/>
  <c r="D3" i="4"/>
  <c r="AB11" i="4"/>
  <c r="AB7" i="4"/>
  <c r="AB3" i="4"/>
  <c r="AA5" i="4"/>
  <c r="X11" i="4"/>
  <c r="X7" i="4"/>
  <c r="X3" i="4"/>
  <c r="W5" i="4"/>
  <c r="T15" i="4"/>
  <c r="T11" i="4"/>
  <c r="T7" i="4"/>
  <c r="T3" i="4"/>
  <c r="S5" i="4"/>
  <c r="P35" i="4"/>
  <c r="P31" i="4"/>
  <c r="P27" i="4"/>
  <c r="P23" i="4"/>
  <c r="P19" i="4"/>
  <c r="P15" i="4"/>
  <c r="P11" i="4"/>
  <c r="P7" i="4"/>
  <c r="P3" i="4"/>
  <c r="O5" i="4"/>
  <c r="L31" i="4"/>
  <c r="L27" i="4"/>
  <c r="L23" i="4"/>
  <c r="L19" i="4"/>
  <c r="L15" i="4"/>
  <c r="L11" i="4"/>
  <c r="L7" i="4"/>
  <c r="L3" i="4"/>
  <c r="K5" i="4"/>
  <c r="H7" i="4"/>
  <c r="H3" i="4"/>
  <c r="G5" i="4"/>
  <c r="G67" i="4"/>
  <c r="K67" i="4"/>
  <c r="O67" i="4"/>
  <c r="S67" i="4"/>
  <c r="W67" i="4"/>
  <c r="AA67" i="4"/>
  <c r="C65" i="4"/>
  <c r="C66" i="4"/>
  <c r="A5" i="4"/>
  <c r="A3" i="4"/>
  <c r="A4" i="4"/>
  <c r="C5" i="4"/>
  <c r="A9" i="4"/>
  <c r="A7" i="4"/>
  <c r="A8" i="4"/>
  <c r="C9" i="4"/>
  <c r="A13" i="4"/>
  <c r="A11" i="4"/>
  <c r="A12" i="4"/>
  <c r="C13" i="4"/>
  <c r="A17" i="4"/>
  <c r="A15" i="4"/>
  <c r="A16" i="4"/>
  <c r="C17" i="4"/>
  <c r="A21" i="4"/>
  <c r="A19" i="4"/>
  <c r="A20" i="4"/>
  <c r="C21" i="4"/>
  <c r="A25" i="4"/>
  <c r="A23" i="4"/>
  <c r="A24" i="4"/>
  <c r="C25" i="4"/>
  <c r="A29" i="4"/>
  <c r="A27" i="4"/>
  <c r="A28" i="4"/>
  <c r="C29" i="4"/>
  <c r="A33" i="4"/>
  <c r="A31" i="4"/>
  <c r="A32" i="4"/>
  <c r="C33" i="4"/>
  <c r="A37" i="4"/>
  <c r="A35" i="4"/>
  <c r="A36" i="4"/>
  <c r="C37" i="4"/>
  <c r="A41" i="4"/>
  <c r="A39" i="4"/>
  <c r="A40" i="4"/>
  <c r="C41" i="4"/>
  <c r="A45" i="4"/>
  <c r="A43" i="4"/>
  <c r="A44" i="4"/>
  <c r="C45" i="4"/>
  <c r="A49" i="4"/>
  <c r="A47" i="4"/>
  <c r="A48" i="4"/>
  <c r="C49" i="4"/>
  <c r="A53" i="4"/>
  <c r="A51" i="4"/>
  <c r="A52" i="4"/>
  <c r="C53" i="4"/>
  <c r="A57" i="4"/>
  <c r="A55" i="4"/>
  <c r="A56" i="4"/>
  <c r="C57" i="4"/>
  <c r="A61" i="4"/>
  <c r="A59" i="4"/>
  <c r="A60" i="4"/>
  <c r="C61" i="4"/>
  <c r="A63" i="4"/>
  <c r="A6" i="4"/>
  <c r="D7" i="4"/>
  <c r="A10" i="4"/>
  <c r="D11" i="4"/>
  <c r="A14" i="4"/>
  <c r="D15" i="4"/>
  <c r="A18" i="4"/>
  <c r="D19" i="4"/>
  <c r="A22" i="4"/>
  <c r="D23" i="4"/>
  <c r="A26" i="4"/>
  <c r="D27" i="4"/>
  <c r="A30" i="4"/>
  <c r="D31" i="4"/>
  <c r="A34" i="4"/>
  <c r="A38" i="4"/>
  <c r="D39" i="4"/>
  <c r="A42" i="4"/>
  <c r="D43" i="4"/>
  <c r="A46" i="4"/>
  <c r="D47" i="4"/>
  <c r="A50" i="4"/>
  <c r="D51" i="4"/>
  <c r="A54" i="4"/>
  <c r="D55" i="4"/>
  <c r="A58" i="4"/>
  <c r="D59" i="4"/>
  <c r="A62" i="4"/>
  <c r="E5" i="4"/>
  <c r="E3" i="4"/>
  <c r="E4" i="4"/>
  <c r="E2" i="4"/>
  <c r="E7" i="4"/>
  <c r="E6" i="4"/>
  <c r="I5" i="4"/>
  <c r="I3" i="4"/>
  <c r="I4" i="4"/>
  <c r="I9" i="4"/>
  <c r="I7" i="4"/>
  <c r="I8" i="4"/>
  <c r="K9" i="4"/>
  <c r="I13" i="4"/>
  <c r="I11" i="4"/>
  <c r="I12" i="4"/>
  <c r="K13" i="4"/>
  <c r="I17" i="4"/>
  <c r="I15" i="4"/>
  <c r="I16" i="4"/>
  <c r="K17" i="4"/>
  <c r="I21" i="4"/>
  <c r="I19" i="4"/>
  <c r="I20" i="4"/>
  <c r="K21" i="4"/>
  <c r="I25" i="4"/>
  <c r="I23" i="4"/>
  <c r="I24" i="4"/>
  <c r="K25" i="4"/>
  <c r="I29" i="4"/>
  <c r="I27" i="4"/>
  <c r="I28" i="4"/>
  <c r="K29" i="4"/>
  <c r="I33" i="4"/>
  <c r="I31" i="4"/>
  <c r="I32" i="4"/>
  <c r="K33" i="4"/>
  <c r="I34" i="4"/>
  <c r="M5" i="4"/>
  <c r="M3" i="4"/>
  <c r="M4" i="4"/>
  <c r="M9" i="4"/>
  <c r="M7" i="4"/>
  <c r="M8" i="4"/>
  <c r="O9" i="4"/>
  <c r="M13" i="4"/>
  <c r="M11" i="4"/>
  <c r="M12" i="4"/>
  <c r="O13" i="4"/>
  <c r="M17" i="4"/>
  <c r="M15" i="4"/>
  <c r="M16" i="4"/>
  <c r="O17" i="4"/>
  <c r="M21" i="4"/>
  <c r="M19" i="4"/>
  <c r="M20" i="4"/>
  <c r="O21" i="4"/>
  <c r="M25" i="4"/>
  <c r="M23" i="4"/>
  <c r="M24" i="4"/>
  <c r="O25" i="4"/>
  <c r="M29" i="4"/>
  <c r="M27" i="4"/>
  <c r="M28" i="4"/>
  <c r="O29" i="4"/>
  <c r="M33" i="4"/>
  <c r="M31" i="4"/>
  <c r="M32" i="4"/>
  <c r="O33" i="4"/>
  <c r="M35" i="4"/>
  <c r="M36" i="4"/>
  <c r="Q5" i="4"/>
  <c r="Q3" i="4"/>
  <c r="Q4" i="4"/>
  <c r="Q9" i="4"/>
  <c r="Q7" i="4"/>
  <c r="Q8" i="4"/>
  <c r="S9" i="4"/>
  <c r="Q13" i="4"/>
  <c r="Q11" i="4"/>
  <c r="Q12" i="4"/>
  <c r="S13" i="4"/>
  <c r="Q17" i="4"/>
  <c r="Q15" i="4"/>
  <c r="Q16" i="4"/>
  <c r="S17" i="4"/>
  <c r="U5" i="4"/>
  <c r="U3" i="4"/>
  <c r="U4" i="4"/>
  <c r="U9" i="4"/>
  <c r="U7" i="4"/>
  <c r="U8" i="4"/>
  <c r="W9" i="4"/>
  <c r="U11" i="4"/>
  <c r="U12" i="4"/>
  <c r="Y5" i="4"/>
  <c r="Y3" i="4"/>
  <c r="Y4" i="4"/>
  <c r="Y9" i="4"/>
  <c r="Y7" i="4"/>
  <c r="Y8" i="4"/>
  <c r="AA9" i="4"/>
  <c r="Y11" i="4"/>
  <c r="Y12" i="4"/>
  <c r="I2" i="4"/>
  <c r="I6" i="4"/>
  <c r="I10" i="4"/>
  <c r="I14" i="4"/>
  <c r="I18" i="4"/>
  <c r="I22" i="4"/>
  <c r="I26" i="4"/>
  <c r="I30" i="4"/>
  <c r="M2" i="4"/>
  <c r="M6" i="4"/>
  <c r="M10" i="4"/>
  <c r="M14" i="4"/>
  <c r="M18" i="4"/>
  <c r="M22" i="4"/>
  <c r="M26" i="4"/>
  <c r="M30" i="4"/>
  <c r="M34" i="4"/>
  <c r="Q2" i="4"/>
  <c r="Q6" i="4"/>
  <c r="Q10" i="4"/>
  <c r="Q14" i="4"/>
  <c r="U2" i="4"/>
  <c r="U6" i="4"/>
  <c r="U10" i="4"/>
  <c r="Y2" i="4"/>
  <c r="Y6" i="4"/>
  <c r="Y10" i="4"/>
  <c r="B4" i="14"/>
  <c r="C2" i="14"/>
  <c r="B54" i="11"/>
  <c r="E32" i="11"/>
  <c r="G32" i="11"/>
  <c r="H32" i="11" s="1"/>
  <c r="E31" i="11"/>
  <c r="G31" i="11"/>
  <c r="H31" i="11" s="1"/>
  <c r="E30" i="11"/>
  <c r="G30" i="11"/>
  <c r="H30" i="11" s="1"/>
  <c r="E29" i="11"/>
  <c r="G29" i="11"/>
  <c r="H29" i="11" s="1"/>
  <c r="E28" i="11"/>
  <c r="G28" i="11"/>
  <c r="H28" i="11" s="1"/>
  <c r="E27" i="11"/>
  <c r="G27" i="11"/>
  <c r="H27" i="11" s="1"/>
  <c r="E26" i="11"/>
  <c r="E25" i="11"/>
  <c r="G25" i="11"/>
  <c r="H25" i="11" s="1"/>
  <c r="E24" i="11"/>
  <c r="G24" i="11"/>
  <c r="H24" i="11" s="1"/>
  <c r="E23" i="11"/>
  <c r="G23" i="11"/>
  <c r="H23" i="11"/>
  <c r="C22" i="11"/>
  <c r="E22" i="11"/>
  <c r="G22" i="11"/>
  <c r="H22" i="11" s="1"/>
  <c r="E21" i="11"/>
  <c r="G21" i="11"/>
  <c r="H21" i="11" s="1"/>
  <c r="G20" i="11"/>
  <c r="H20" i="11" s="1"/>
  <c r="G19" i="11"/>
  <c r="H19" i="11" s="1"/>
  <c r="E18" i="11"/>
  <c r="G18" i="11"/>
  <c r="H18" i="11" s="1"/>
  <c r="E17" i="11"/>
  <c r="G17" i="11"/>
  <c r="H17" i="11" s="1"/>
  <c r="E16" i="11"/>
  <c r="G16" i="11"/>
  <c r="H16" i="11" s="1"/>
  <c r="E15" i="11"/>
  <c r="G15" i="11"/>
  <c r="H15" i="11" s="1"/>
  <c r="E14" i="11"/>
  <c r="G14" i="11"/>
  <c r="H14" i="11" s="1"/>
  <c r="E13" i="11"/>
  <c r="G13" i="11"/>
  <c r="H13" i="11" s="1"/>
  <c r="E12" i="11"/>
  <c r="G12" i="11"/>
  <c r="H12" i="11" s="1"/>
  <c r="E11" i="11"/>
  <c r="G11" i="11"/>
  <c r="H11" i="11" s="1"/>
  <c r="N2" i="11"/>
  <c r="U5" i="11"/>
  <c r="M6" i="9"/>
  <c r="M7" i="9"/>
  <c r="B20" i="9"/>
  <c r="C20" i="9"/>
  <c r="B21" i="9"/>
  <c r="C21" i="9"/>
  <c r="B19" i="9"/>
  <c r="C19" i="9"/>
  <c r="G4" i="9"/>
  <c r="F4" i="9"/>
  <c r="B73" i="4"/>
  <c r="AA66" i="4"/>
  <c r="W66" i="4"/>
  <c r="S66" i="4"/>
  <c r="O66" i="4"/>
  <c r="K66" i="4"/>
  <c r="G66" i="4"/>
  <c r="W65" i="4"/>
  <c r="S65" i="4"/>
  <c r="O65" i="4"/>
  <c r="K65" i="4"/>
  <c r="G65" i="4"/>
  <c r="A2" i="4"/>
  <c r="C51" i="11" l="1"/>
  <c r="H7" i="11"/>
  <c r="H9" i="11"/>
  <c r="L1" i="11"/>
  <c r="L2" i="11"/>
  <c r="A62" i="11"/>
  <c r="C49" i="11"/>
  <c r="C52" i="11"/>
  <c r="C55" i="11"/>
  <c r="C50" i="11"/>
  <c r="C54" i="11"/>
  <c r="N1" i="11" l="1"/>
  <c r="A40" i="11"/>
  <c r="D52" i="11" s="1"/>
  <c r="D55" i="11" l="1"/>
  <c r="B69" i="11" s="1"/>
  <c r="B60" i="11"/>
  <c r="B59" i="11"/>
  <c r="B61" i="11"/>
  <c r="B58" i="11"/>
  <c r="D53" i="11"/>
  <c r="B67" i="11" s="1"/>
  <c r="D51" i="11"/>
  <c r="B62" i="11"/>
  <c r="D50" i="11"/>
  <c r="D54" i="11"/>
  <c r="B68" i="11" s="1"/>
  <c r="D49" i="11"/>
  <c r="B63" i="11" s="1"/>
  <c r="B65" i="11" l="1"/>
  <c r="B66" i="11" s="1"/>
</calcChain>
</file>

<file path=xl/sharedStrings.xml><?xml version="1.0" encoding="utf-8"?>
<sst xmlns="http://schemas.openxmlformats.org/spreadsheetml/2006/main" count="128" uniqueCount="82">
  <si>
    <t>trial 1</t>
  </si>
  <si>
    <t># Larvae</t>
  </si>
  <si>
    <t>Control</t>
  </si>
  <si>
    <t>10 larvae data</t>
  </si>
  <si>
    <t>g</t>
  </si>
  <si>
    <t>10 mean</t>
  </si>
  <si>
    <t>10 stdev</t>
  </si>
  <si>
    <t>Initial mass (g)</t>
  </si>
  <si>
    <t>Eating rate, grams per hour</t>
  </si>
  <si>
    <t>Eating rate of 10 larvae</t>
  </si>
  <si>
    <t>num larvae</t>
  </si>
  <si>
    <t>eating rate</t>
  </si>
  <si>
    <t>stdev</t>
  </si>
  <si>
    <t>average frac</t>
  </si>
  <si>
    <t>average</t>
  </si>
  <si>
    <t>total fraction</t>
  </si>
  <si>
    <t>number</t>
  </si>
  <si>
    <t>del.V</t>
  </si>
  <si>
    <t>A</t>
  </si>
  <si>
    <t>L/min</t>
  </si>
  <si>
    <t>Total</t>
  </si>
  <si>
    <t>Eating rate</t>
  </si>
  <si>
    <t>R</t>
  </si>
  <si>
    <t>1/R</t>
  </si>
  <si>
    <t>Single larva</t>
  </si>
  <si>
    <t>PIV data</t>
  </si>
  <si>
    <t>PIV calculations</t>
  </si>
  <si>
    <t>Model</t>
  </si>
  <si>
    <t>N'</t>
  </si>
  <si>
    <t>cm^3</t>
  </si>
  <si>
    <t>larvae</t>
  </si>
  <si>
    <t>cm^3/larva</t>
  </si>
  <si>
    <t>phi</t>
  </si>
  <si>
    <t>a</t>
  </si>
  <si>
    <t>b</t>
  </si>
  <si>
    <t>larva height</t>
  </si>
  <si>
    <t>mm</t>
  </si>
  <si>
    <t>100 larvae weight</t>
  </si>
  <si>
    <t>Volume fraction</t>
  </si>
  <si>
    <t>grams/hour</t>
  </si>
  <si>
    <t>top</t>
  </si>
  <si>
    <t>bottom</t>
  </si>
  <si>
    <t>vorticity (1/s)</t>
  </si>
  <si>
    <t>Eating rate, grams per minute</t>
  </si>
  <si>
    <t>Intersection</t>
  </si>
  <si>
    <t>c</t>
  </si>
  <si>
    <t>d</t>
  </si>
  <si>
    <t>Size</t>
  </si>
  <si>
    <t>L</t>
  </si>
  <si>
    <t>W</t>
  </si>
  <si>
    <t>h</t>
  </si>
  <si>
    <t>cm</t>
  </si>
  <si>
    <t>eating rate in larva weights per day</t>
  </si>
  <si>
    <t>A1</t>
  </si>
  <si>
    <t>A2</t>
  </si>
  <si>
    <t>A3</t>
  </si>
  <si>
    <t>total area</t>
  </si>
  <si>
    <t>Flat length</t>
  </si>
  <si>
    <t>arc length</t>
  </si>
  <si>
    <t>time eating</t>
  </si>
  <si>
    <t>time not eating</t>
  </si>
  <si>
    <t>Area, ellipse</t>
  </si>
  <si>
    <t>mm^2</t>
  </si>
  <si>
    <t>larva weights per day</t>
  </si>
  <si>
    <t>g/hour</t>
  </si>
  <si>
    <t>Nmax, ellipsoid</t>
  </si>
  <si>
    <t>1/initial weight</t>
  </si>
  <si>
    <t>Mass after 30 minutes</t>
  </si>
  <si>
    <t>speed (mm/s)</t>
  </si>
  <si>
    <t>average time eating</t>
  </si>
  <si>
    <t>average time not eating</t>
  </si>
  <si>
    <t xml:space="preserve">evaporation </t>
  </si>
  <si>
    <t>Larva length</t>
  </si>
  <si>
    <t>Larva width</t>
  </si>
  <si>
    <t>Larvae per minute, 1500 seconds</t>
  </si>
  <si>
    <t>1000 seconds</t>
  </si>
  <si>
    <t>500 seconds</t>
  </si>
  <si>
    <t>Top view experiments</t>
  </si>
  <si>
    <t>Top and bottom view experiment</t>
  </si>
  <si>
    <t>difference 1500-1000</t>
  </si>
  <si>
    <t>difference 1500-500</t>
  </si>
  <si>
    <t>Evaporation, 30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</si>
</sst>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73" formatCode="#,##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/>
    <xf numFmtId="2" fontId="0" fillId="0" borderId="0" xfId="0" applyNumberFormat="1"/>
    <xf numFmtId="11" fontId="0" fillId="0" borderId="0" xfId="0" applyNumberFormat="1"/>
    <xf numFmtId="0" fontId="0" fillId="0" borderId="0" xfId="0" applyNumberFormat="1"/>
    <xf numFmtId="0" fontId="0" fillId="0" borderId="0" xfId="0" applyNumberFormat="1" applyFont="1"/>
    <xf numFmtId="0" fontId="0" fillId="0" borderId="0" xfId="0" applyFont="1"/>
    <xf numFmtId="164" fontId="0" fillId="0" borderId="0" xfId="0" applyNumberFormat="1"/>
    <xf numFmtId="0" fontId="0" fillId="0" borderId="0" xfId="0"/>
    <xf numFmtId="0" fontId="1" fillId="0" borderId="0" xfId="0" applyFont="1"/>
    <xf numFmtId="2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7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'Larva eating timing'!$A$2:$A$63</c:f>
              <c:numCache>
                <c:formatCode>General</c:formatCode>
                <c:ptCount val="62"/>
                <c:pt idx="0">
                  <c:v>0.41666666666666669</c:v>
                </c:pt>
                <c:pt idx="1">
                  <c:v>0.5</c:v>
                </c:pt>
                <c:pt idx="2">
                  <c:v>0.5</c:v>
                </c:pt>
                <c:pt idx="3">
                  <c:v>6.6</c:v>
                </c:pt>
                <c:pt idx="4">
                  <c:v>6.6</c:v>
                </c:pt>
                <c:pt idx="5">
                  <c:v>6.916666666666667</c:v>
                </c:pt>
                <c:pt idx="6">
                  <c:v>6.916666666666667</c:v>
                </c:pt>
                <c:pt idx="7">
                  <c:v>11.416666666666666</c:v>
                </c:pt>
                <c:pt idx="8">
                  <c:v>11.416666666666666</c:v>
                </c:pt>
                <c:pt idx="9">
                  <c:v>11.966666666666667</c:v>
                </c:pt>
                <c:pt idx="10">
                  <c:v>11.966666666666667</c:v>
                </c:pt>
                <c:pt idx="11">
                  <c:v>18.233333333333334</c:v>
                </c:pt>
                <c:pt idx="12">
                  <c:v>18.233333333333334</c:v>
                </c:pt>
                <c:pt idx="13">
                  <c:v>18.783333333333335</c:v>
                </c:pt>
                <c:pt idx="14">
                  <c:v>18.783333333333335</c:v>
                </c:pt>
                <c:pt idx="15">
                  <c:v>19.466666666666665</c:v>
                </c:pt>
                <c:pt idx="16">
                  <c:v>19.466666666666665</c:v>
                </c:pt>
                <c:pt idx="17">
                  <c:v>21.566666666666666</c:v>
                </c:pt>
                <c:pt idx="18">
                  <c:v>21.566666666666666</c:v>
                </c:pt>
                <c:pt idx="19">
                  <c:v>21.833333333333332</c:v>
                </c:pt>
                <c:pt idx="20">
                  <c:v>21.833333333333332</c:v>
                </c:pt>
                <c:pt idx="21">
                  <c:v>22.983333333333334</c:v>
                </c:pt>
                <c:pt idx="22">
                  <c:v>22.983333333333334</c:v>
                </c:pt>
                <c:pt idx="23">
                  <c:v>23.25</c:v>
                </c:pt>
                <c:pt idx="24">
                  <c:v>23.25</c:v>
                </c:pt>
                <c:pt idx="25">
                  <c:v>24.25</c:v>
                </c:pt>
                <c:pt idx="26">
                  <c:v>24.25</c:v>
                </c:pt>
                <c:pt idx="27">
                  <c:v>26.1</c:v>
                </c:pt>
                <c:pt idx="28">
                  <c:v>26.1</c:v>
                </c:pt>
                <c:pt idx="29">
                  <c:v>28.3</c:v>
                </c:pt>
                <c:pt idx="30">
                  <c:v>28.3</c:v>
                </c:pt>
                <c:pt idx="31">
                  <c:v>29.533333333333335</c:v>
                </c:pt>
                <c:pt idx="32">
                  <c:v>29.533333333333335</c:v>
                </c:pt>
                <c:pt idx="33">
                  <c:v>34.04</c:v>
                </c:pt>
                <c:pt idx="34">
                  <c:v>34.04</c:v>
                </c:pt>
                <c:pt idx="35">
                  <c:v>34.366666666666667</c:v>
                </c:pt>
                <c:pt idx="36">
                  <c:v>34.366666666666667</c:v>
                </c:pt>
                <c:pt idx="37">
                  <c:v>37.916666666666664</c:v>
                </c:pt>
                <c:pt idx="38">
                  <c:v>37.916666666666664</c:v>
                </c:pt>
                <c:pt idx="39">
                  <c:v>39.18333333333333</c:v>
                </c:pt>
                <c:pt idx="40">
                  <c:v>39.18333333333333</c:v>
                </c:pt>
                <c:pt idx="41">
                  <c:v>40.016666666666666</c:v>
                </c:pt>
                <c:pt idx="42">
                  <c:v>40.016666666666666</c:v>
                </c:pt>
                <c:pt idx="43">
                  <c:v>43.116666666666667</c:v>
                </c:pt>
                <c:pt idx="44">
                  <c:v>43.116666666666667</c:v>
                </c:pt>
                <c:pt idx="45">
                  <c:v>46.483333333333334</c:v>
                </c:pt>
                <c:pt idx="46">
                  <c:v>46.483333333333334</c:v>
                </c:pt>
                <c:pt idx="47">
                  <c:v>49.366666666666667</c:v>
                </c:pt>
                <c:pt idx="48">
                  <c:v>49.366666666666667</c:v>
                </c:pt>
                <c:pt idx="49">
                  <c:v>50.133333333333333</c:v>
                </c:pt>
                <c:pt idx="50">
                  <c:v>50.133333333333333</c:v>
                </c:pt>
                <c:pt idx="51">
                  <c:v>53.716666666666669</c:v>
                </c:pt>
                <c:pt idx="52">
                  <c:v>53.716666666666669</c:v>
                </c:pt>
                <c:pt idx="53">
                  <c:v>54.283333333333331</c:v>
                </c:pt>
                <c:pt idx="54">
                  <c:v>54.283333333333331</c:v>
                </c:pt>
                <c:pt idx="55">
                  <c:v>55.616666666666667</c:v>
                </c:pt>
                <c:pt idx="56">
                  <c:v>55.616666666666667</c:v>
                </c:pt>
                <c:pt idx="57">
                  <c:v>57.31666666666667</c:v>
                </c:pt>
                <c:pt idx="58">
                  <c:v>57.31666666666667</c:v>
                </c:pt>
                <c:pt idx="59">
                  <c:v>57.733333333333334</c:v>
                </c:pt>
                <c:pt idx="60">
                  <c:v>57.733333333333334</c:v>
                </c:pt>
                <c:pt idx="61">
                  <c:v>63.383333333333333</c:v>
                </c:pt>
              </c:numCache>
            </c:numRef>
          </c:xVal>
          <c:yVal>
            <c:numRef>
              <c:f>'Larva eating timing'!$B$2:$B$63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5C-475A-A68F-2C325075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82104"/>
        <c:axId val="691898176"/>
      </c:scatterChart>
      <c:valAx>
        <c:axId val="691882104"/>
        <c:scaling>
          <c:orientation val="minMax"/>
          <c:max val="6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98176"/>
        <c:crosses val="autoZero"/>
        <c:crossBetween val="midCat"/>
      </c:valAx>
      <c:valAx>
        <c:axId val="691898176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82104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0161291393746"/>
          <c:y val="6.9539228781560242E-2"/>
          <c:w val="0.74382051166259977"/>
          <c:h val="0.77248177311169441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'Group feeding raw data (4)'!$A$22:$A$32</c:f>
              <c:numCache>
                <c:formatCode>General</c:formatCode>
                <c:ptCount val="11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2500</c:v>
                </c:pt>
                <c:pt idx="4">
                  <c:v>5000</c:v>
                </c:pt>
                <c:pt idx="5">
                  <c:v>2000</c:v>
                </c:pt>
                <c:pt idx="6">
                  <c:v>10000</c:v>
                </c:pt>
                <c:pt idx="7">
                  <c:v>15000</c:v>
                </c:pt>
                <c:pt idx="8">
                  <c:v>30000</c:v>
                </c:pt>
                <c:pt idx="9">
                  <c:v>58000</c:v>
                </c:pt>
                <c:pt idx="10">
                  <c:v>3000</c:v>
                </c:pt>
              </c:numCache>
            </c:numRef>
          </c:xVal>
          <c:yVal>
            <c:numRef>
              <c:f>'Group feeding raw data (4)'!$H$22:$H$32</c:f>
              <c:numCache>
                <c:formatCode>0.000</c:formatCode>
                <c:ptCount val="11"/>
                <c:pt idx="0">
                  <c:v>5.9816005034613013</c:v>
                </c:pt>
                <c:pt idx="1">
                  <c:v>3.7302782590308361</c:v>
                </c:pt>
                <c:pt idx="2">
                  <c:v>2.2761463219634992</c:v>
                </c:pt>
                <c:pt idx="3">
                  <c:v>7.5414614273127754</c:v>
                </c:pt>
                <c:pt idx="4">
                  <c:v>8.7114368684707362</c:v>
                </c:pt>
                <c:pt idx="5">
                  <c:v>3.120071743234738</c:v>
                </c:pt>
                <c:pt idx="6">
                  <c:v>0.96484877331655117</c:v>
                </c:pt>
                <c:pt idx="7">
                  <c:v>0.75798016161107606</c:v>
                </c:pt>
                <c:pt idx="8">
                  <c:v>0.82245361057268718</c:v>
                </c:pt>
                <c:pt idx="9">
                  <c:v>0.20433045637030445</c:v>
                </c:pt>
                <c:pt idx="10">
                  <c:v>1.8113973568281927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F8-4300-9B12-5D15B4C4A972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'Group feeding raw data (4)'!$A$7:$A$21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</c:numCache>
            </c:numRef>
          </c:xVal>
          <c:yVal>
            <c:numRef>
              <c:f>'Group feeding raw data (4)'!$H$7:$H$21</c:f>
              <c:numCache>
                <c:formatCode>0.000</c:formatCode>
                <c:ptCount val="15"/>
                <c:pt idx="0">
                  <c:v>1.1967526746381292</c:v>
                </c:pt>
                <c:pt idx="1">
                  <c:v>2.3062680931403263</c:v>
                </c:pt>
                <c:pt idx="2">
                  <c:v>4.5965512901195682</c:v>
                </c:pt>
                <c:pt idx="3">
                  <c:v>27.812913782252981</c:v>
                </c:pt>
                <c:pt idx="4">
                  <c:v>12.212009565764626</c:v>
                </c:pt>
                <c:pt idx="5">
                  <c:v>6.598540969162995</c:v>
                </c:pt>
                <c:pt idx="6">
                  <c:v>7.5033877910635614</c:v>
                </c:pt>
                <c:pt idx="7">
                  <c:v>6.9605259156702335</c:v>
                </c:pt>
                <c:pt idx="8">
                  <c:v>7.122302831969793</c:v>
                </c:pt>
                <c:pt idx="9">
                  <c:v>5.5571874638137198</c:v>
                </c:pt>
                <c:pt idx="10">
                  <c:v>6.2816624292007539</c:v>
                </c:pt>
                <c:pt idx="11">
                  <c:v>5.9963429376966646</c:v>
                </c:pt>
                <c:pt idx="12">
                  <c:v>11.888462016362494</c:v>
                </c:pt>
                <c:pt idx="13">
                  <c:v>34.621462353681551</c:v>
                </c:pt>
                <c:pt idx="14">
                  <c:v>12.882988546255506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F8-4300-9B12-5D15B4C4A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96472"/>
        <c:axId val="500688928"/>
      </c:scatterChart>
      <c:valAx>
        <c:axId val="50069647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88928"/>
        <c:crosses val="autoZero"/>
        <c:crossBetween val="midCat"/>
      </c:valAx>
      <c:valAx>
        <c:axId val="5006889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Eating rate per</a:t>
                </a:r>
                <a:r>
                  <a:rPr lang="en-US" baseline="0"/>
                  <a:t> total  larva weight per day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393927463007284E-2"/>
              <c:y val="0.12646369467921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96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'Larva eating timing'!$I$2:$I$63</c:f>
              <c:numCache>
                <c:formatCode>General</c:formatCode>
                <c:ptCount val="62"/>
                <c:pt idx="0">
                  <c:v>0.45</c:v>
                </c:pt>
                <c:pt idx="1">
                  <c:v>3.2333333333333334</c:v>
                </c:pt>
                <c:pt idx="2">
                  <c:v>3.2333333333333334</c:v>
                </c:pt>
                <c:pt idx="3">
                  <c:v>3.3166666666666664</c:v>
                </c:pt>
                <c:pt idx="4">
                  <c:v>3.3166666666666664</c:v>
                </c:pt>
                <c:pt idx="5">
                  <c:v>6.9333333333333336</c:v>
                </c:pt>
                <c:pt idx="6">
                  <c:v>6.9333333333333336</c:v>
                </c:pt>
                <c:pt idx="7">
                  <c:v>7.05</c:v>
                </c:pt>
                <c:pt idx="8">
                  <c:v>7.05</c:v>
                </c:pt>
                <c:pt idx="9">
                  <c:v>12.95</c:v>
                </c:pt>
                <c:pt idx="10">
                  <c:v>12.95</c:v>
                </c:pt>
                <c:pt idx="11">
                  <c:v>25.6</c:v>
                </c:pt>
                <c:pt idx="12">
                  <c:v>25.6</c:v>
                </c:pt>
                <c:pt idx="13">
                  <c:v>25.816666666666666</c:v>
                </c:pt>
                <c:pt idx="14">
                  <c:v>25.816666666666666</c:v>
                </c:pt>
                <c:pt idx="15">
                  <c:v>27.366666666666667</c:v>
                </c:pt>
                <c:pt idx="16">
                  <c:v>27.366666666666667</c:v>
                </c:pt>
                <c:pt idx="17">
                  <c:v>28.35</c:v>
                </c:pt>
                <c:pt idx="18">
                  <c:v>28.35</c:v>
                </c:pt>
                <c:pt idx="19">
                  <c:v>29.4</c:v>
                </c:pt>
                <c:pt idx="20">
                  <c:v>29.4</c:v>
                </c:pt>
                <c:pt idx="21">
                  <c:v>30.083333333333332</c:v>
                </c:pt>
                <c:pt idx="22">
                  <c:v>30.083333333333332</c:v>
                </c:pt>
                <c:pt idx="23">
                  <c:v>49.716666666666669</c:v>
                </c:pt>
                <c:pt idx="24">
                  <c:v>49.716666666666669</c:v>
                </c:pt>
                <c:pt idx="25">
                  <c:v>55.016666666666666</c:v>
                </c:pt>
                <c:pt idx="26">
                  <c:v>55.016666666666666</c:v>
                </c:pt>
                <c:pt idx="27">
                  <c:v>57.766666666666666</c:v>
                </c:pt>
                <c:pt idx="28">
                  <c:v>57.766666666666666</c:v>
                </c:pt>
                <c:pt idx="29">
                  <c:v>57.866666666666667</c:v>
                </c:pt>
                <c:pt idx="30">
                  <c:v>57.866666666666667</c:v>
                </c:pt>
                <c:pt idx="31">
                  <c:v>63.383333333333333</c:v>
                </c:pt>
                <c:pt idx="32">
                  <c:v>63.383333333333333</c:v>
                </c:pt>
              </c:numCache>
            </c:numRef>
          </c:xVal>
          <c:yVal>
            <c:numRef>
              <c:f>'Larva eating timing'!$J$2:$J$63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FF-4596-B1BD-18F9C039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82104"/>
        <c:axId val="691898176"/>
      </c:scatterChart>
      <c:valAx>
        <c:axId val="69188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98176"/>
        <c:crosses val="autoZero"/>
        <c:crossBetween val="midCat"/>
      </c:valAx>
      <c:valAx>
        <c:axId val="6918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30927384076991E-2"/>
          <c:y val="6.0185185185185182E-2"/>
          <c:w val="0.88389129483814521"/>
          <c:h val="0.7435032079323418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'Larva eating timing'!$E$2:$E$63</c:f>
              <c:numCache>
                <c:formatCode>General</c:formatCode>
                <c:ptCount val="62"/>
                <c:pt idx="0">
                  <c:v>0.41666666666666669</c:v>
                </c:pt>
                <c:pt idx="1">
                  <c:v>5.5166666666666666</c:v>
                </c:pt>
                <c:pt idx="2">
                  <c:v>5.5166666666666666</c:v>
                </c:pt>
                <c:pt idx="3">
                  <c:v>9.8333333333333339</c:v>
                </c:pt>
                <c:pt idx="4">
                  <c:v>9.8333333333333339</c:v>
                </c:pt>
                <c:pt idx="5">
                  <c:v>63.383333333333333</c:v>
                </c:pt>
              </c:numCache>
            </c:numRef>
          </c:xVal>
          <c:yVal>
            <c:numRef>
              <c:f>'Larva eating timing'!$F$2:$F$63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94-4880-B128-0B95FF368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82104"/>
        <c:axId val="691898176"/>
      </c:scatterChart>
      <c:valAx>
        <c:axId val="69188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98176"/>
        <c:crosses val="autoZero"/>
        <c:crossBetween val="midCat"/>
      </c:valAx>
      <c:valAx>
        <c:axId val="6918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'Larva eating timing'!$M$2:$M$63</c:f>
              <c:numCache>
                <c:formatCode>General</c:formatCode>
                <c:ptCount val="62"/>
                <c:pt idx="0">
                  <c:v>0.28333333333333333</c:v>
                </c:pt>
                <c:pt idx="1">
                  <c:v>1.25</c:v>
                </c:pt>
                <c:pt idx="2">
                  <c:v>1.25</c:v>
                </c:pt>
                <c:pt idx="3">
                  <c:v>9.3833333333333329</c:v>
                </c:pt>
                <c:pt idx="4">
                  <c:v>9.3833333333333329</c:v>
                </c:pt>
                <c:pt idx="5">
                  <c:v>9.7333333333333325</c:v>
                </c:pt>
                <c:pt idx="6">
                  <c:v>9.7333333333333325</c:v>
                </c:pt>
                <c:pt idx="7">
                  <c:v>9.8166666666666664</c:v>
                </c:pt>
                <c:pt idx="8">
                  <c:v>9.8166666666666664</c:v>
                </c:pt>
                <c:pt idx="9">
                  <c:v>10.95</c:v>
                </c:pt>
                <c:pt idx="10">
                  <c:v>10.95</c:v>
                </c:pt>
                <c:pt idx="11">
                  <c:v>17.2</c:v>
                </c:pt>
                <c:pt idx="12">
                  <c:v>17.2</c:v>
                </c:pt>
                <c:pt idx="13">
                  <c:v>17.45</c:v>
                </c:pt>
                <c:pt idx="14">
                  <c:v>17.45</c:v>
                </c:pt>
                <c:pt idx="15">
                  <c:v>18.899999999999999</c:v>
                </c:pt>
                <c:pt idx="16">
                  <c:v>18.899999999999999</c:v>
                </c:pt>
                <c:pt idx="17">
                  <c:v>19.166666666666668</c:v>
                </c:pt>
                <c:pt idx="18">
                  <c:v>19.166666666666668</c:v>
                </c:pt>
                <c:pt idx="19">
                  <c:v>19.350000000000001</c:v>
                </c:pt>
                <c:pt idx="20">
                  <c:v>19.350000000000001</c:v>
                </c:pt>
                <c:pt idx="21">
                  <c:v>20.083333333333332</c:v>
                </c:pt>
                <c:pt idx="22">
                  <c:v>20.083333333333332</c:v>
                </c:pt>
                <c:pt idx="23">
                  <c:v>21.8</c:v>
                </c:pt>
                <c:pt idx="24">
                  <c:v>21.8</c:v>
                </c:pt>
                <c:pt idx="25">
                  <c:v>29.583333333333332</c:v>
                </c:pt>
                <c:pt idx="26">
                  <c:v>29.583333333333332</c:v>
                </c:pt>
                <c:pt idx="27">
                  <c:v>30.45</c:v>
                </c:pt>
                <c:pt idx="28">
                  <c:v>30.45</c:v>
                </c:pt>
                <c:pt idx="29">
                  <c:v>32.6</c:v>
                </c:pt>
                <c:pt idx="30">
                  <c:v>32.6</c:v>
                </c:pt>
                <c:pt idx="31">
                  <c:v>33</c:v>
                </c:pt>
                <c:pt idx="32">
                  <c:v>33</c:v>
                </c:pt>
                <c:pt idx="33">
                  <c:v>63.383333333333333</c:v>
                </c:pt>
                <c:pt idx="34">
                  <c:v>63.383333333333333</c:v>
                </c:pt>
              </c:numCache>
            </c:numRef>
          </c:xVal>
          <c:yVal>
            <c:numRef>
              <c:f>'Larva eating timing'!$N$2:$N$63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1B-4309-BB23-B751C9782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82104"/>
        <c:axId val="691898176"/>
      </c:scatterChart>
      <c:valAx>
        <c:axId val="69188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98176"/>
        <c:crosses val="autoZero"/>
        <c:crossBetween val="midCat"/>
      </c:valAx>
      <c:valAx>
        <c:axId val="6918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'Larva eating timing'!$Q$2:$Q$63</c:f>
              <c:numCache>
                <c:formatCode>General</c:formatCode>
                <c:ptCount val="62"/>
                <c:pt idx="0">
                  <c:v>0.26666666666666666</c:v>
                </c:pt>
                <c:pt idx="1">
                  <c:v>9.9</c:v>
                </c:pt>
                <c:pt idx="2">
                  <c:v>9.9</c:v>
                </c:pt>
                <c:pt idx="3">
                  <c:v>52.783333333333331</c:v>
                </c:pt>
                <c:pt idx="4">
                  <c:v>52.783333333333331</c:v>
                </c:pt>
                <c:pt idx="5">
                  <c:v>53.266666666666666</c:v>
                </c:pt>
                <c:pt idx="6">
                  <c:v>53.266666666666666</c:v>
                </c:pt>
                <c:pt idx="7">
                  <c:v>53.45</c:v>
                </c:pt>
                <c:pt idx="8">
                  <c:v>53.45</c:v>
                </c:pt>
                <c:pt idx="9">
                  <c:v>53.716666666666669</c:v>
                </c:pt>
                <c:pt idx="10">
                  <c:v>53.716666666666669</c:v>
                </c:pt>
                <c:pt idx="11">
                  <c:v>58.366666666666667</c:v>
                </c:pt>
                <c:pt idx="12">
                  <c:v>58.366666666666667</c:v>
                </c:pt>
                <c:pt idx="13">
                  <c:v>59.18333333333333</c:v>
                </c:pt>
                <c:pt idx="14">
                  <c:v>59.18333333333333</c:v>
                </c:pt>
                <c:pt idx="15">
                  <c:v>63.383333333333333</c:v>
                </c:pt>
              </c:numCache>
            </c:numRef>
          </c:xVal>
          <c:yVal>
            <c:numRef>
              <c:f>'Larva eating timing'!$R$2:$R$63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69-49CB-87F0-AEBA10E37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82104"/>
        <c:axId val="691898176"/>
      </c:scatterChart>
      <c:valAx>
        <c:axId val="69188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98176"/>
        <c:crosses val="autoZero"/>
        <c:crossBetween val="midCat"/>
      </c:valAx>
      <c:valAx>
        <c:axId val="6918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'Larva eating timing'!$U$2:$U$63</c:f>
              <c:numCache>
                <c:formatCode>General</c:formatCode>
                <c:ptCount val="62"/>
                <c:pt idx="0">
                  <c:v>0.2</c:v>
                </c:pt>
                <c:pt idx="1">
                  <c:v>18.516666666666666</c:v>
                </c:pt>
                <c:pt idx="2">
                  <c:v>18.516666666666666</c:v>
                </c:pt>
                <c:pt idx="3">
                  <c:v>28.866666666666667</c:v>
                </c:pt>
                <c:pt idx="4">
                  <c:v>28.866666666666667</c:v>
                </c:pt>
                <c:pt idx="5">
                  <c:v>32.966666666666669</c:v>
                </c:pt>
                <c:pt idx="6">
                  <c:v>32.966666666666669</c:v>
                </c:pt>
                <c:pt idx="7">
                  <c:v>35.75</c:v>
                </c:pt>
                <c:pt idx="8">
                  <c:v>35.75</c:v>
                </c:pt>
                <c:pt idx="9">
                  <c:v>63.383333333333333</c:v>
                </c:pt>
                <c:pt idx="10">
                  <c:v>63.383333333333333</c:v>
                </c:pt>
              </c:numCache>
            </c:numRef>
          </c:xVal>
          <c:yVal>
            <c:numRef>
              <c:f>'Larva eating timing'!$V$2:$V$63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F1-4908-BAD2-C418E23C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82104"/>
        <c:axId val="691898176"/>
      </c:scatterChart>
      <c:valAx>
        <c:axId val="69188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98176"/>
        <c:crosses val="autoZero"/>
        <c:crossBetween val="midCat"/>
      </c:valAx>
      <c:valAx>
        <c:axId val="6918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'Larva eating timing'!$Y$2:$Y$63</c:f>
              <c:numCache>
                <c:formatCode>General</c:formatCode>
                <c:ptCount val="62"/>
                <c:pt idx="0">
                  <c:v>0.2</c:v>
                </c:pt>
                <c:pt idx="1">
                  <c:v>19.350000000000001</c:v>
                </c:pt>
                <c:pt idx="2">
                  <c:v>19.350000000000001</c:v>
                </c:pt>
                <c:pt idx="3">
                  <c:v>26.6</c:v>
                </c:pt>
                <c:pt idx="4">
                  <c:v>26.6</c:v>
                </c:pt>
                <c:pt idx="5">
                  <c:v>36.916666666666664</c:v>
                </c:pt>
                <c:pt idx="6">
                  <c:v>36.916666666666664</c:v>
                </c:pt>
                <c:pt idx="7">
                  <c:v>60.2</c:v>
                </c:pt>
                <c:pt idx="8">
                  <c:v>60.2</c:v>
                </c:pt>
                <c:pt idx="9">
                  <c:v>63.383333333333333</c:v>
                </c:pt>
                <c:pt idx="10">
                  <c:v>63.383333333333333</c:v>
                </c:pt>
              </c:numCache>
            </c:numRef>
          </c:xVal>
          <c:yVal>
            <c:numRef>
              <c:f>'Larva eating timing'!$Z$2:$Z$63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A2-4BF2-BE6D-1F369DFB5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882104"/>
        <c:axId val="691898176"/>
      </c:scatterChart>
      <c:valAx>
        <c:axId val="691882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98176"/>
        <c:crosses val="autoZero"/>
        <c:crossBetween val="midCat"/>
      </c:valAx>
      <c:valAx>
        <c:axId val="69189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8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'PIV data M'!$A$3</c:f>
              <c:numCache>
                <c:formatCode>General</c:formatCode>
                <c:ptCount val="1"/>
                <c:pt idx="0">
                  <c:v>500</c:v>
                </c:pt>
              </c:numCache>
            </c:numRef>
          </c:xVal>
          <c:yVal>
            <c:numRef>
              <c:f>'PIV data M'!$B$3</c:f>
              <c:numCache>
                <c:formatCode>General</c:formatCode>
                <c:ptCount val="1"/>
                <c:pt idx="0">
                  <c:v>6.3601999999999999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9-4543-AAF5-38D47F88377A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1.4603674540682414E-2"/>
                  <c:y val="0.3564814814814814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'PIV data M'!$A$4:$A$7</c:f>
              <c:numCache>
                <c:formatCode>General</c:formatCode>
                <c:ptCount val="4"/>
                <c:pt idx="0">
                  <c:v>1000</c:v>
                </c:pt>
                <c:pt idx="1">
                  <c:v>3000</c:v>
                </c:pt>
                <c:pt idx="2">
                  <c:v>5000</c:v>
                </c:pt>
                <c:pt idx="3">
                  <c:v>10000</c:v>
                </c:pt>
              </c:numCache>
            </c:numRef>
          </c:xVal>
          <c:yVal>
            <c:numRef>
              <c:f>'PIV data M'!$B$4:$B$7</c:f>
              <c:numCache>
                <c:formatCode>General</c:formatCode>
                <c:ptCount val="4"/>
                <c:pt idx="0">
                  <c:v>46.4328</c:v>
                </c:pt>
                <c:pt idx="1">
                  <c:v>102.1786</c:v>
                </c:pt>
                <c:pt idx="2">
                  <c:v>126.1653</c:v>
                </c:pt>
                <c:pt idx="3">
                  <c:v>125.20659999999999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59-4543-AAF5-38D47F883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922088"/>
        <c:axId val="471918480"/>
      </c:scatterChart>
      <c:valAx>
        <c:axId val="471922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larvae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918480"/>
        <c:crosses val="autoZero"/>
        <c:crossBetween val="midCat"/>
      </c:valAx>
      <c:valAx>
        <c:axId val="471918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Q (</a:t>
                </a:r>
                <a:r>
                  <a:rPr lang="en-US"/>
                  <a:t>Larvae/minute)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92208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0167197451095"/>
          <c:y val="8.0835636275818717E-2"/>
          <c:w val="0.74382051166259977"/>
          <c:h val="0.77248177311169441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162523843319256"/>
                  <c:y val="-0.172604743851463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'Group feeding raw data (4)'!$A$22:$A$32</c:f>
              <c:numCache>
                <c:formatCode>General</c:formatCode>
                <c:ptCount val="11"/>
                <c:pt idx="0">
                  <c:v>1000</c:v>
                </c:pt>
                <c:pt idx="1">
                  <c:v>5000</c:v>
                </c:pt>
                <c:pt idx="2">
                  <c:v>10000</c:v>
                </c:pt>
                <c:pt idx="3">
                  <c:v>2500</c:v>
                </c:pt>
                <c:pt idx="4">
                  <c:v>5000</c:v>
                </c:pt>
                <c:pt idx="5">
                  <c:v>2000</c:v>
                </c:pt>
                <c:pt idx="6">
                  <c:v>10000</c:v>
                </c:pt>
                <c:pt idx="7">
                  <c:v>15000</c:v>
                </c:pt>
                <c:pt idx="8">
                  <c:v>30000</c:v>
                </c:pt>
                <c:pt idx="9">
                  <c:v>58000</c:v>
                </c:pt>
                <c:pt idx="10">
                  <c:v>3000</c:v>
                </c:pt>
              </c:numCache>
            </c:numRef>
          </c:xVal>
          <c:yVal>
            <c:numRef>
              <c:f>'Group feeding raw data (4)'!$G$22:$G$32</c:f>
              <c:numCache>
                <c:formatCode>0.000</c:formatCode>
                <c:ptCount val="11"/>
                <c:pt idx="0">
                  <c:v>24.923335431088756</c:v>
                </c:pt>
                <c:pt idx="1">
                  <c:v>77.714130396475753</c:v>
                </c:pt>
                <c:pt idx="2">
                  <c:v>94.839430081812466</c:v>
                </c:pt>
                <c:pt idx="3">
                  <c:v>78.556889867841406</c:v>
                </c:pt>
                <c:pt idx="4">
                  <c:v>181.48826809314036</c:v>
                </c:pt>
                <c:pt idx="5">
                  <c:v>26.000597860289485</c:v>
                </c:pt>
                <c:pt idx="6">
                  <c:v>40.202032221522963</c:v>
                </c:pt>
                <c:pt idx="7">
                  <c:v>47.373760100692259</c:v>
                </c:pt>
                <c:pt idx="8">
                  <c:v>102.8067013215859</c:v>
                </c:pt>
                <c:pt idx="9">
                  <c:v>49.379860289490239</c:v>
                </c:pt>
                <c:pt idx="10">
                  <c:v>22.642466960352408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31-4E38-A979-A96E1AA5EE1C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9.8001848769952826E-2"/>
                  <c:y val="-9.91379624863154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'Group feeding raw data (4)'!$A$7:$A$32</c:f>
              <c:numCache>
                <c:formatCode>General</c:formatCode>
                <c:ptCount val="2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1000</c:v>
                </c:pt>
                <c:pt idx="16">
                  <c:v>5000</c:v>
                </c:pt>
                <c:pt idx="17">
                  <c:v>10000</c:v>
                </c:pt>
                <c:pt idx="18">
                  <c:v>2500</c:v>
                </c:pt>
                <c:pt idx="19">
                  <c:v>5000</c:v>
                </c:pt>
                <c:pt idx="20">
                  <c:v>2000</c:v>
                </c:pt>
                <c:pt idx="21">
                  <c:v>10000</c:v>
                </c:pt>
                <c:pt idx="22">
                  <c:v>15000</c:v>
                </c:pt>
                <c:pt idx="23">
                  <c:v>30000</c:v>
                </c:pt>
                <c:pt idx="24">
                  <c:v>58000</c:v>
                </c:pt>
                <c:pt idx="25">
                  <c:v>3000</c:v>
                </c:pt>
              </c:numCache>
            </c:numRef>
          </c:xVal>
          <c:yVal>
            <c:numRef>
              <c:f>'Group feeding raw data (4)'!$G$7:$G$21</c:f>
              <c:numCache>
                <c:formatCode>0.000</c:formatCode>
                <c:ptCount val="15"/>
                <c:pt idx="0">
                  <c:v>0.11967526746381293</c:v>
                </c:pt>
                <c:pt idx="1">
                  <c:v>0.23062680931403265</c:v>
                </c:pt>
                <c:pt idx="2">
                  <c:v>0.45965512901195688</c:v>
                </c:pt>
                <c:pt idx="3">
                  <c:v>2.7812913782252981</c:v>
                </c:pt>
                <c:pt idx="4">
                  <c:v>5.0883373190685939</c:v>
                </c:pt>
                <c:pt idx="5">
                  <c:v>2.7493920704845816</c:v>
                </c:pt>
                <c:pt idx="6">
                  <c:v>6.2528231592196342</c:v>
                </c:pt>
                <c:pt idx="7">
                  <c:v>5.8004382630585276</c:v>
                </c:pt>
                <c:pt idx="8">
                  <c:v>5.935252359974827</c:v>
                </c:pt>
                <c:pt idx="9">
                  <c:v>11.577473882945249</c:v>
                </c:pt>
                <c:pt idx="10">
                  <c:v>13.086796727501572</c:v>
                </c:pt>
                <c:pt idx="11">
                  <c:v>12.492381120201385</c:v>
                </c:pt>
                <c:pt idx="12">
                  <c:v>24.767629200755195</c:v>
                </c:pt>
                <c:pt idx="13">
                  <c:v>72.1280465701699</c:v>
                </c:pt>
                <c:pt idx="14">
                  <c:v>26.839559471365639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31-4E38-A979-A96E1AA5EE1C}"/>
            </c:ext>
          </c:extLst>
        </c:ser>
        <c:ser>
          <c:idx val="2"/>
          <c:order val="2"/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'Group feeding raw data (4)'!$A$58:$A$69</c:f>
              <c:numCache>
                <c:formatCode>General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150</c:v>
                </c:pt>
                <c:pt idx="4">
                  <c:v>336.8239290489247</c:v>
                </c:pt>
                <c:pt idx="5">
                  <c:v>500</c:v>
                </c:pt>
                <c:pt idx="6">
                  <c:v>1000</c:v>
                </c:pt>
                <c:pt idx="7">
                  <c:v>2853.3333495392617</c:v>
                </c:pt>
                <c:pt idx="8">
                  <c:v>3000</c:v>
                </c:pt>
                <c:pt idx="9">
                  <c:v>5000</c:v>
                </c:pt>
                <c:pt idx="10">
                  <c:v>10000</c:v>
                </c:pt>
                <c:pt idx="11">
                  <c:v>58000</c:v>
                </c:pt>
              </c:numCache>
            </c:numRef>
          </c:xVal>
          <c:yVal>
            <c:numRef>
              <c:f>'Group feeding raw data (4)'!$B$58:$B$69</c:f>
              <c:numCache>
                <c:formatCode>General</c:formatCode>
                <c:ptCount val="12"/>
                <c:pt idx="0">
                  <c:v>2.6998573526326747E-2</c:v>
                </c:pt>
                <c:pt idx="1">
                  <c:v>0.26998573526326747</c:v>
                </c:pt>
                <c:pt idx="2">
                  <c:v>1.3499286763163374</c:v>
                </c:pt>
                <c:pt idx="3">
                  <c:v>4.0497860289490122</c:v>
                </c:pt>
                <c:pt idx="4">
                  <c:v>9.0937656138536571</c:v>
                </c:pt>
                <c:pt idx="5">
                  <c:v>9.9523472505643742</c:v>
                </c:pt>
                <c:pt idx="6">
                  <c:v>15.361862438019779</c:v>
                </c:pt>
                <c:pt idx="7">
                  <c:v>20.667649122394675</c:v>
                </c:pt>
                <c:pt idx="8">
                  <c:v>20.667649122394675</c:v>
                </c:pt>
                <c:pt idx="9">
                  <c:v>20.667649122394675</c:v>
                </c:pt>
                <c:pt idx="10">
                  <c:v>20.667649122394675</c:v>
                </c:pt>
                <c:pt idx="11">
                  <c:v>20.667649122394675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31-4E38-A979-A96E1AA5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96472"/>
        <c:axId val="500688928"/>
      </c:scatterChart>
      <c:valAx>
        <c:axId val="500696472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88928"/>
        <c:crosses val="autoZero"/>
        <c:crossBetween val="midCat"/>
      </c:valAx>
      <c:valAx>
        <c:axId val="50068892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dM/dt (grams/hour)</a:t>
                </a:r>
              </a:p>
            </c:rich>
          </c:tx>
          <c:layout>
            <c:manualLayout>
              <c:xMode val="edge"/>
              <c:yMode val="edge"/>
              <c:x val="1.9393913206297079E-2"/>
              <c:y val="0.22060148141859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696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591910</xdr:colOff>
      <xdr:row>0</xdr:row>
      <xdr:rowOff>119062</xdr:rowOff>
    </xdr:from>
    <xdr:to>
      <xdr:col>38</xdr:col>
      <xdr:colOff>287111</xdr:colOff>
      <xdr:row>15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8C27B0-0556-495F-AB7A-623E1C748E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340178</xdr:colOff>
      <xdr:row>18</xdr:row>
      <xdr:rowOff>87085</xdr:rowOff>
    </xdr:from>
    <xdr:to>
      <xdr:col>49</xdr:col>
      <xdr:colOff>32657</xdr:colOff>
      <xdr:row>32</xdr:row>
      <xdr:rowOff>163285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1F5F08-0D71-4429-9080-91B6746F3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428625</xdr:colOff>
      <xdr:row>2</xdr:row>
      <xdr:rowOff>189139</xdr:rowOff>
    </xdr:from>
    <xdr:to>
      <xdr:col>48</xdr:col>
      <xdr:colOff>123825</xdr:colOff>
      <xdr:row>17</xdr:row>
      <xdr:rowOff>74839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23F85F-213C-4C7D-B207-BE12834B6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259896</xdr:colOff>
      <xdr:row>40</xdr:row>
      <xdr:rowOff>83004</xdr:rowOff>
    </xdr:from>
    <xdr:to>
      <xdr:col>48</xdr:col>
      <xdr:colOff>567418</xdr:colOff>
      <xdr:row>54</xdr:row>
      <xdr:rowOff>159204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52D66C-D1A6-4A7A-857F-C689507C0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409575</xdr:colOff>
      <xdr:row>44</xdr:row>
      <xdr:rowOff>1361</xdr:rowOff>
    </xdr:from>
    <xdr:to>
      <xdr:col>40</xdr:col>
      <xdr:colOff>104776</xdr:colOff>
      <xdr:row>58</xdr:row>
      <xdr:rowOff>77561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355B98-D667-46EF-97C4-9C1855C4F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545647</xdr:colOff>
      <xdr:row>28</xdr:row>
      <xdr:rowOff>62593</xdr:rowOff>
    </xdr:from>
    <xdr:to>
      <xdr:col>39</xdr:col>
      <xdr:colOff>240847</xdr:colOff>
      <xdr:row>42</xdr:row>
      <xdr:rowOff>138793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4397384-295C-47AC-9328-A2822120A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351064</xdr:colOff>
      <xdr:row>14</xdr:row>
      <xdr:rowOff>148318</xdr:rowOff>
    </xdr:from>
    <xdr:to>
      <xdr:col>39</xdr:col>
      <xdr:colOff>43542</xdr:colOff>
      <xdr:row>29</xdr:row>
      <xdr:rowOff>34018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BC3329C-6D29-4B76-B7CB-1906E4227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537795</xdr:colOff>
      <xdr:row>7</xdr:row>
      <xdr:rowOff>114664</xdr:rowOff>
    </xdr:from>
    <xdr:to>
      <xdr:col>25</xdr:col>
      <xdr:colOff>232995</xdr:colOff>
      <xdr:row>22</xdr:row>
      <xdr:rowOff>364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FA9B10-0558-4C6F-8B44-92DC372AA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500743</xdr:colOff>
      <xdr:row>12</xdr:row>
      <xdr:rowOff>100693</xdr:rowOff>
    </xdr:from>
    <xdr:to>
      <xdr:col>21</xdr:col>
      <xdr:colOff>368873</xdr:colOff>
      <xdr:row>30</xdr:row>
      <xdr:rowOff>44408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8FAC21-6E81-4E67-BBBD-4943DACB8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159328</xdr:colOff>
      <xdr:row>31</xdr:row>
      <xdr:rowOff>35996</xdr:rowOff>
    </xdr:from>
    <xdr:to>
      <xdr:col>21</xdr:col>
      <xdr:colOff>27457</xdr:colOff>
      <xdr:row>48</xdr:row>
      <xdr:rowOff>170211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0B80C3-87E5-42E7-80BF-07B312753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7FA9-8DD1-4789-A8F5-5E56E37BCDC6}">
  <sheetPr codeName="Sheet1"/>
  <dimension ref="A1:AB78"/>
  <sheetViews>
    <sheetView zoomScale="70" zoomScaleNormal="70" workbookViewId="0">
      <selection activeCell="P23" sqref="P23"/>
    </sheetView>
  </sheetViews>
  <sheetFormatPr defaultRowHeight="15" x14ac:dyDescent="0.25"/>
  <cols>
    <col min="1" max="1" width="19.42578125" customWidth="1"/>
  </cols>
  <sheetData>
    <row r="1" spans="1:28" x14ac:dyDescent="0.25">
      <c r="A1">
        <v>3</v>
      </c>
      <c r="C1" t="s">
        <v>59</v>
      </c>
      <c r="D1" t="s">
        <v>60</v>
      </c>
      <c r="E1">
        <v>4</v>
      </c>
      <c r="G1" s="9" t="s">
        <v>59</v>
      </c>
      <c r="H1" s="9" t="s">
        <v>60</v>
      </c>
      <c r="I1">
        <v>5</v>
      </c>
      <c r="K1" s="9" t="s">
        <v>59</v>
      </c>
      <c r="L1" s="9" t="s">
        <v>60</v>
      </c>
      <c r="M1">
        <v>6</v>
      </c>
      <c r="O1" s="9" t="s">
        <v>59</v>
      </c>
      <c r="P1" s="9" t="s">
        <v>60</v>
      </c>
      <c r="Q1">
        <v>7</v>
      </c>
      <c r="S1" s="9" t="s">
        <v>59</v>
      </c>
      <c r="T1" s="9" t="s">
        <v>60</v>
      </c>
      <c r="U1">
        <v>8</v>
      </c>
      <c r="W1" s="9" t="s">
        <v>59</v>
      </c>
      <c r="X1" s="9" t="s">
        <v>60</v>
      </c>
      <c r="Y1">
        <v>9</v>
      </c>
      <c r="AA1" s="9" t="s">
        <v>59</v>
      </c>
      <c r="AB1" s="9" t="s">
        <v>60</v>
      </c>
    </row>
    <row r="2" spans="1:28" x14ac:dyDescent="0.25">
      <c r="A2">
        <f>25/60</f>
        <v>0.41666666666666669</v>
      </c>
      <c r="B2">
        <v>0</v>
      </c>
      <c r="E2">
        <f>25/60</f>
        <v>0.41666666666666669</v>
      </c>
      <c r="F2">
        <v>0</v>
      </c>
      <c r="I2">
        <f>27/60</f>
        <v>0.45</v>
      </c>
      <c r="J2">
        <v>0</v>
      </c>
      <c r="M2">
        <f>17/60</f>
        <v>0.28333333333333333</v>
      </c>
      <c r="N2">
        <v>0</v>
      </c>
      <c r="Q2">
        <f>16/60</f>
        <v>0.26666666666666666</v>
      </c>
      <c r="R2">
        <v>0</v>
      </c>
      <c r="U2">
        <f>12/60</f>
        <v>0.2</v>
      </c>
      <c r="V2">
        <v>0</v>
      </c>
      <c r="Y2">
        <f>12/60</f>
        <v>0.2</v>
      </c>
      <c r="Z2">
        <v>0</v>
      </c>
    </row>
    <row r="3" spans="1:28" x14ac:dyDescent="0.25">
      <c r="A3">
        <f>30/60</f>
        <v>0.5</v>
      </c>
      <c r="B3">
        <v>0</v>
      </c>
      <c r="D3" s="9">
        <f>$A3-$A2</f>
        <v>8.3333333333333315E-2</v>
      </c>
      <c r="E3">
        <f>5+31/60</f>
        <v>5.5166666666666666</v>
      </c>
      <c r="F3">
        <v>0</v>
      </c>
      <c r="H3" s="9">
        <f>$E3-$E2</f>
        <v>5.0999999999999996</v>
      </c>
      <c r="I3">
        <f>3+14/60</f>
        <v>3.2333333333333334</v>
      </c>
      <c r="J3">
        <v>0</v>
      </c>
      <c r="L3" s="9">
        <f>$I3-$I2</f>
        <v>2.7833333333333332</v>
      </c>
      <c r="M3">
        <f>1+15/60</f>
        <v>1.25</v>
      </c>
      <c r="N3">
        <v>0</v>
      </c>
      <c r="P3" s="9">
        <f>$M3-$M2</f>
        <v>0.96666666666666667</v>
      </c>
      <c r="Q3">
        <f>9+54/60</f>
        <v>9.9</v>
      </c>
      <c r="R3">
        <v>0</v>
      </c>
      <c r="T3" s="9">
        <f>$Q3-$Q2</f>
        <v>9.6333333333333329</v>
      </c>
      <c r="U3">
        <f>18+31/60</f>
        <v>18.516666666666666</v>
      </c>
      <c r="V3">
        <v>0</v>
      </c>
      <c r="X3" s="9">
        <f>$U3-$U2</f>
        <v>18.316666666666666</v>
      </c>
      <c r="Y3">
        <f>19+21/60</f>
        <v>19.350000000000001</v>
      </c>
      <c r="Z3">
        <v>0</v>
      </c>
      <c r="AB3" s="9">
        <f>$Y3-$Y2</f>
        <v>19.150000000000002</v>
      </c>
    </row>
    <row r="4" spans="1:28" x14ac:dyDescent="0.25">
      <c r="A4">
        <f>A3</f>
        <v>0.5</v>
      </c>
      <c r="B4">
        <v>1</v>
      </c>
      <c r="E4">
        <f>E3</f>
        <v>5.5166666666666666</v>
      </c>
      <c r="F4">
        <v>1</v>
      </c>
      <c r="I4">
        <f>I3</f>
        <v>3.2333333333333334</v>
      </c>
      <c r="J4">
        <v>1</v>
      </c>
      <c r="M4">
        <f>M3</f>
        <v>1.25</v>
      </c>
      <c r="N4">
        <v>1</v>
      </c>
      <c r="Q4">
        <f>Q3</f>
        <v>9.9</v>
      </c>
      <c r="R4">
        <v>1</v>
      </c>
      <c r="U4">
        <f>U3</f>
        <v>18.516666666666666</v>
      </c>
      <c r="V4">
        <v>1</v>
      </c>
      <c r="Y4">
        <f>Y3</f>
        <v>19.350000000000001</v>
      </c>
      <c r="Z4">
        <v>1</v>
      </c>
    </row>
    <row r="5" spans="1:28" x14ac:dyDescent="0.25">
      <c r="A5">
        <f>6+36/60</f>
        <v>6.6</v>
      </c>
      <c r="B5">
        <v>1</v>
      </c>
      <c r="C5">
        <f>$A5-$A4</f>
        <v>6.1</v>
      </c>
      <c r="E5">
        <f>9+50/60</f>
        <v>9.8333333333333339</v>
      </c>
      <c r="F5">
        <v>1</v>
      </c>
      <c r="G5">
        <f>$E5-$E4</f>
        <v>4.3166666666666673</v>
      </c>
      <c r="I5">
        <f>3+19/60</f>
        <v>3.3166666666666664</v>
      </c>
      <c r="J5">
        <v>1</v>
      </c>
      <c r="K5">
        <f>$I5-$I4</f>
        <v>8.3333333333333037E-2</v>
      </c>
      <c r="M5">
        <f>9+23/60</f>
        <v>9.3833333333333329</v>
      </c>
      <c r="N5">
        <v>1</v>
      </c>
      <c r="O5">
        <f>$M5-$M4</f>
        <v>8.1333333333333329</v>
      </c>
      <c r="Q5">
        <f>52+47/60</f>
        <v>52.783333333333331</v>
      </c>
      <c r="R5">
        <v>1</v>
      </c>
      <c r="S5">
        <f>$Q5-$Q4</f>
        <v>42.883333333333333</v>
      </c>
      <c r="U5">
        <f>28+52/60</f>
        <v>28.866666666666667</v>
      </c>
      <c r="V5">
        <v>1</v>
      </c>
      <c r="W5">
        <f>$U5-$U4</f>
        <v>10.350000000000001</v>
      </c>
      <c r="Y5">
        <f>26+36/60</f>
        <v>26.6</v>
      </c>
      <c r="Z5">
        <v>1</v>
      </c>
      <c r="AA5">
        <f>$Y5-$Y4</f>
        <v>7.25</v>
      </c>
    </row>
    <row r="6" spans="1:28" x14ac:dyDescent="0.25">
      <c r="A6">
        <f>A5</f>
        <v>6.6</v>
      </c>
      <c r="B6">
        <v>0</v>
      </c>
      <c r="E6">
        <f>E5</f>
        <v>9.8333333333333339</v>
      </c>
      <c r="F6">
        <v>0</v>
      </c>
      <c r="I6">
        <f>I5</f>
        <v>3.3166666666666664</v>
      </c>
      <c r="J6">
        <v>0</v>
      </c>
      <c r="M6">
        <f>M5</f>
        <v>9.3833333333333329</v>
      </c>
      <c r="N6">
        <v>0</v>
      </c>
      <c r="Q6">
        <f>Q5</f>
        <v>52.783333333333331</v>
      </c>
      <c r="R6">
        <v>0</v>
      </c>
      <c r="U6">
        <f>U5</f>
        <v>28.866666666666667</v>
      </c>
      <c r="V6">
        <v>0</v>
      </c>
      <c r="Y6">
        <f>Y5</f>
        <v>26.6</v>
      </c>
      <c r="Z6">
        <v>0</v>
      </c>
    </row>
    <row r="7" spans="1:28" x14ac:dyDescent="0.25">
      <c r="A7">
        <f>6+55/60</f>
        <v>6.916666666666667</v>
      </c>
      <c r="B7">
        <v>0</v>
      </c>
      <c r="D7" s="1">
        <f>$A7-$A6</f>
        <v>0.31666666666666732</v>
      </c>
      <c r="E7">
        <f>A63</f>
        <v>63.383333333333333</v>
      </c>
      <c r="F7">
        <v>0</v>
      </c>
      <c r="H7" s="9">
        <f>$E7-$E6</f>
        <v>53.55</v>
      </c>
      <c r="I7">
        <f>6+56/60</f>
        <v>6.9333333333333336</v>
      </c>
      <c r="J7">
        <v>0</v>
      </c>
      <c r="L7" s="9">
        <f>$I7-$I6</f>
        <v>3.6166666666666671</v>
      </c>
      <c r="M7">
        <f>9+44/60</f>
        <v>9.7333333333333325</v>
      </c>
      <c r="N7">
        <v>0</v>
      </c>
      <c r="P7" s="9">
        <f>$M7-$M6</f>
        <v>0.34999999999999964</v>
      </c>
      <c r="Q7">
        <f>53+16/60</f>
        <v>53.266666666666666</v>
      </c>
      <c r="R7">
        <v>0</v>
      </c>
      <c r="T7" s="9">
        <f>$Q7-$Q6</f>
        <v>0.48333333333333428</v>
      </c>
      <c r="U7">
        <f>32+58/60</f>
        <v>32.966666666666669</v>
      </c>
      <c r="V7">
        <v>0</v>
      </c>
      <c r="X7" s="9">
        <f>$U7-$U6</f>
        <v>4.1000000000000014</v>
      </c>
      <c r="Y7">
        <f>36+55/60</f>
        <v>36.916666666666664</v>
      </c>
      <c r="Z7">
        <v>0</v>
      </c>
      <c r="AB7" s="9">
        <f>$Y7-$Y6</f>
        <v>10.316666666666663</v>
      </c>
    </row>
    <row r="8" spans="1:28" x14ac:dyDescent="0.25">
      <c r="A8">
        <f>A7</f>
        <v>6.916666666666667</v>
      </c>
      <c r="B8">
        <v>1</v>
      </c>
      <c r="I8">
        <f>I7</f>
        <v>6.9333333333333336</v>
      </c>
      <c r="J8">
        <v>1</v>
      </c>
      <c r="M8">
        <f>M7</f>
        <v>9.7333333333333325</v>
      </c>
      <c r="N8">
        <v>1</v>
      </c>
      <c r="Q8">
        <f>Q7</f>
        <v>53.266666666666666</v>
      </c>
      <c r="R8">
        <v>1</v>
      </c>
      <c r="U8">
        <f>U7</f>
        <v>32.966666666666669</v>
      </c>
      <c r="V8">
        <v>1</v>
      </c>
      <c r="Y8">
        <f>Y7</f>
        <v>36.916666666666664</v>
      </c>
      <c r="Z8">
        <v>1</v>
      </c>
    </row>
    <row r="9" spans="1:28" x14ac:dyDescent="0.25">
      <c r="A9">
        <f>11+25/60</f>
        <v>11.416666666666666</v>
      </c>
      <c r="B9">
        <v>1</v>
      </c>
      <c r="C9">
        <f>A9-A8</f>
        <v>4.4999999999999991</v>
      </c>
      <c r="I9">
        <f>7+3/60</f>
        <v>7.05</v>
      </c>
      <c r="J9">
        <v>1</v>
      </c>
      <c r="K9">
        <f>I9-I8</f>
        <v>0.11666666666666625</v>
      </c>
      <c r="M9">
        <f>9+49/60</f>
        <v>9.8166666666666664</v>
      </c>
      <c r="N9">
        <v>1</v>
      </c>
      <c r="O9">
        <f>M9-M8</f>
        <v>8.3333333333333925E-2</v>
      </c>
      <c r="Q9">
        <f>53+27/60</f>
        <v>53.45</v>
      </c>
      <c r="R9">
        <v>1</v>
      </c>
      <c r="S9">
        <f>Q9-Q8</f>
        <v>0.18333333333333712</v>
      </c>
      <c r="U9">
        <f>35+45/60</f>
        <v>35.75</v>
      </c>
      <c r="V9">
        <v>1</v>
      </c>
      <c r="W9">
        <f>U9-U8</f>
        <v>2.7833333333333314</v>
      </c>
      <c r="Y9">
        <f>60+12/60</f>
        <v>60.2</v>
      </c>
      <c r="Z9">
        <v>1</v>
      </c>
      <c r="AA9">
        <f>Y9-Y8</f>
        <v>23.283333333333339</v>
      </c>
    </row>
    <row r="10" spans="1:28" x14ac:dyDescent="0.25">
      <c r="A10">
        <f>A9</f>
        <v>11.416666666666666</v>
      </c>
      <c r="B10">
        <v>0</v>
      </c>
      <c r="I10">
        <f>I9</f>
        <v>7.05</v>
      </c>
      <c r="J10">
        <v>0</v>
      </c>
      <c r="M10">
        <f>M9</f>
        <v>9.8166666666666664</v>
      </c>
      <c r="N10">
        <v>0</v>
      </c>
      <c r="Q10">
        <f>Q9</f>
        <v>53.45</v>
      </c>
      <c r="R10">
        <v>0</v>
      </c>
      <c r="U10">
        <f>U9</f>
        <v>35.75</v>
      </c>
      <c r="V10">
        <v>0</v>
      </c>
      <c r="Y10">
        <f>Y9</f>
        <v>60.2</v>
      </c>
      <c r="Z10">
        <v>0</v>
      </c>
    </row>
    <row r="11" spans="1:28" x14ac:dyDescent="0.25">
      <c r="A11">
        <f>11+58/60</f>
        <v>11.966666666666667</v>
      </c>
      <c r="B11">
        <v>0</v>
      </c>
      <c r="D11" s="1">
        <f>$A11-$A10</f>
        <v>0.55000000000000071</v>
      </c>
      <c r="I11">
        <f>12+57/60</f>
        <v>12.95</v>
      </c>
      <c r="J11">
        <v>0</v>
      </c>
      <c r="L11" s="9">
        <f>$I11-$I10</f>
        <v>5.8999999999999995</v>
      </c>
      <c r="M11">
        <f>10+57/60</f>
        <v>10.95</v>
      </c>
      <c r="N11">
        <v>0</v>
      </c>
      <c r="P11" s="9">
        <f>$M11-$M10</f>
        <v>1.1333333333333329</v>
      </c>
      <c r="Q11">
        <f>53+43/60</f>
        <v>53.716666666666669</v>
      </c>
      <c r="R11">
        <v>0</v>
      </c>
      <c r="T11" s="9">
        <f>$Q11-$Q10</f>
        <v>0.26666666666666572</v>
      </c>
      <c r="U11">
        <f>Q17</f>
        <v>63.383333333333333</v>
      </c>
      <c r="V11">
        <v>0</v>
      </c>
      <c r="X11" s="9">
        <f>$U11-$U10</f>
        <v>27.633333333333333</v>
      </c>
      <c r="Y11">
        <f>U12</f>
        <v>63.383333333333333</v>
      </c>
      <c r="Z11">
        <v>0</v>
      </c>
      <c r="AB11" s="9">
        <f>$Y11-$Y10</f>
        <v>3.18333333333333</v>
      </c>
    </row>
    <row r="12" spans="1:28" x14ac:dyDescent="0.25">
      <c r="A12">
        <f>A11</f>
        <v>11.966666666666667</v>
      </c>
      <c r="B12">
        <v>1</v>
      </c>
      <c r="I12">
        <f>I11</f>
        <v>12.95</v>
      </c>
      <c r="J12">
        <v>1</v>
      </c>
      <c r="M12">
        <f>M11</f>
        <v>10.95</v>
      </c>
      <c r="N12">
        <v>1</v>
      </c>
      <c r="Q12">
        <f>Q11</f>
        <v>53.716666666666669</v>
      </c>
      <c r="R12">
        <v>1</v>
      </c>
      <c r="U12">
        <f>U11</f>
        <v>63.383333333333333</v>
      </c>
      <c r="V12">
        <v>1</v>
      </c>
      <c r="Y12">
        <f>Y11</f>
        <v>63.383333333333333</v>
      </c>
      <c r="Z12">
        <v>1</v>
      </c>
    </row>
    <row r="13" spans="1:28" x14ac:dyDescent="0.25">
      <c r="A13">
        <f>18+14/60</f>
        <v>18.233333333333334</v>
      </c>
      <c r="B13">
        <v>1</v>
      </c>
      <c r="C13">
        <f>A13-A12</f>
        <v>6.2666666666666675</v>
      </c>
      <c r="I13">
        <f>25+36/60</f>
        <v>25.6</v>
      </c>
      <c r="J13">
        <v>1</v>
      </c>
      <c r="K13">
        <f>I13-I12</f>
        <v>12.650000000000002</v>
      </c>
      <c r="M13">
        <f>17+12/60</f>
        <v>17.2</v>
      </c>
      <c r="N13">
        <v>1</v>
      </c>
      <c r="O13">
        <f>M13-M12</f>
        <v>6.25</v>
      </c>
      <c r="Q13">
        <f>58+22/60</f>
        <v>58.366666666666667</v>
      </c>
      <c r="R13">
        <v>1</v>
      </c>
      <c r="S13">
        <f>Q13-Q12</f>
        <v>4.6499999999999986</v>
      </c>
    </row>
    <row r="14" spans="1:28" x14ac:dyDescent="0.25">
      <c r="A14">
        <f>A13</f>
        <v>18.233333333333334</v>
      </c>
      <c r="B14">
        <v>0</v>
      </c>
      <c r="I14">
        <f>I13</f>
        <v>25.6</v>
      </c>
      <c r="J14">
        <v>0</v>
      </c>
      <c r="M14">
        <f>M13</f>
        <v>17.2</v>
      </c>
      <c r="N14">
        <v>0</v>
      </c>
      <c r="Q14">
        <f>Q13</f>
        <v>58.366666666666667</v>
      </c>
      <c r="R14">
        <v>0</v>
      </c>
    </row>
    <row r="15" spans="1:28" x14ac:dyDescent="0.25">
      <c r="A15">
        <f>18+47/60</f>
        <v>18.783333333333335</v>
      </c>
      <c r="B15">
        <v>0</v>
      </c>
      <c r="D15" s="1">
        <f>$A15-$A14</f>
        <v>0.55000000000000071</v>
      </c>
      <c r="I15">
        <f>25+49/60</f>
        <v>25.816666666666666</v>
      </c>
      <c r="J15">
        <v>0</v>
      </c>
      <c r="L15" s="9">
        <f>$I15-$I14</f>
        <v>0.21666666666666501</v>
      </c>
      <c r="M15">
        <f>17+27/60</f>
        <v>17.45</v>
      </c>
      <c r="N15">
        <v>0</v>
      </c>
      <c r="P15" s="9">
        <f>$M15-$M14</f>
        <v>0.25</v>
      </c>
      <c r="Q15">
        <f>59+11/60</f>
        <v>59.18333333333333</v>
      </c>
      <c r="R15">
        <v>0</v>
      </c>
      <c r="T15" s="9">
        <f>$Q15-$Q14</f>
        <v>0.81666666666666288</v>
      </c>
    </row>
    <row r="16" spans="1:28" x14ac:dyDescent="0.25">
      <c r="A16">
        <f>A15</f>
        <v>18.783333333333335</v>
      </c>
      <c r="B16">
        <v>1</v>
      </c>
      <c r="I16">
        <f>I15</f>
        <v>25.816666666666666</v>
      </c>
      <c r="J16">
        <v>1</v>
      </c>
      <c r="M16">
        <f>M15</f>
        <v>17.45</v>
      </c>
      <c r="N16">
        <v>1</v>
      </c>
      <c r="Q16">
        <f>Q15</f>
        <v>59.18333333333333</v>
      </c>
      <c r="R16">
        <v>1</v>
      </c>
    </row>
    <row r="17" spans="1:19" x14ac:dyDescent="0.25">
      <c r="A17">
        <f>19+28/60</f>
        <v>19.466666666666665</v>
      </c>
      <c r="B17">
        <v>1</v>
      </c>
      <c r="C17">
        <f>A17-A16</f>
        <v>0.68333333333333002</v>
      </c>
      <c r="I17">
        <f>27+22/60</f>
        <v>27.366666666666667</v>
      </c>
      <c r="J17">
        <v>1</v>
      </c>
      <c r="K17">
        <f>I17-I16</f>
        <v>1.5500000000000007</v>
      </c>
      <c r="M17">
        <f>18+54/60</f>
        <v>18.899999999999999</v>
      </c>
      <c r="N17">
        <v>1</v>
      </c>
      <c r="O17">
        <f>M17-M16</f>
        <v>1.4499999999999993</v>
      </c>
      <c r="Q17">
        <f>M36</f>
        <v>63.383333333333333</v>
      </c>
      <c r="R17">
        <v>1</v>
      </c>
      <c r="S17">
        <f>Q17-Q16</f>
        <v>4.2000000000000028</v>
      </c>
    </row>
    <row r="18" spans="1:19" x14ac:dyDescent="0.25">
      <c r="A18">
        <f>A17</f>
        <v>19.466666666666665</v>
      </c>
      <c r="B18">
        <v>0</v>
      </c>
      <c r="I18">
        <f>I17</f>
        <v>27.366666666666667</v>
      </c>
      <c r="J18">
        <v>0</v>
      </c>
      <c r="M18">
        <f>M17</f>
        <v>18.899999999999999</v>
      </c>
      <c r="N18">
        <v>0</v>
      </c>
    </row>
    <row r="19" spans="1:19" x14ac:dyDescent="0.25">
      <c r="A19">
        <f>21+34/60</f>
        <v>21.566666666666666</v>
      </c>
      <c r="B19">
        <v>0</v>
      </c>
      <c r="D19" s="1">
        <f>$A19-$A18</f>
        <v>2.1000000000000014</v>
      </c>
      <c r="I19">
        <f>28+21/60</f>
        <v>28.35</v>
      </c>
      <c r="J19">
        <v>0</v>
      </c>
      <c r="L19" s="9">
        <f>$I19-$I18</f>
        <v>0.98333333333333428</v>
      </c>
      <c r="M19">
        <f>19+10/60</f>
        <v>19.166666666666668</v>
      </c>
      <c r="N19">
        <v>0</v>
      </c>
      <c r="P19" s="9">
        <f>$M19-$M18</f>
        <v>0.26666666666666927</v>
      </c>
    </row>
    <row r="20" spans="1:19" x14ac:dyDescent="0.25">
      <c r="A20">
        <f>A19</f>
        <v>21.566666666666666</v>
      </c>
      <c r="B20">
        <v>1</v>
      </c>
      <c r="I20">
        <f>I19</f>
        <v>28.35</v>
      </c>
      <c r="J20">
        <v>1</v>
      </c>
      <c r="M20">
        <f>M19</f>
        <v>19.166666666666668</v>
      </c>
      <c r="N20">
        <v>1</v>
      </c>
    </row>
    <row r="21" spans="1:19" x14ac:dyDescent="0.25">
      <c r="A21">
        <f>21+50/60</f>
        <v>21.833333333333332</v>
      </c>
      <c r="B21">
        <v>1</v>
      </c>
      <c r="C21">
        <f>A21-A20</f>
        <v>0.26666666666666572</v>
      </c>
      <c r="I21">
        <f>29+24/60</f>
        <v>29.4</v>
      </c>
      <c r="J21">
        <v>1</v>
      </c>
      <c r="K21">
        <f>I21-I20</f>
        <v>1.0499999999999972</v>
      </c>
      <c r="M21">
        <f>19+21/60</f>
        <v>19.350000000000001</v>
      </c>
      <c r="N21">
        <v>1</v>
      </c>
      <c r="O21">
        <f>M21-M20</f>
        <v>0.18333333333333357</v>
      </c>
    </row>
    <row r="22" spans="1:19" x14ac:dyDescent="0.25">
      <c r="A22">
        <f>A21</f>
        <v>21.833333333333332</v>
      </c>
      <c r="B22">
        <v>0</v>
      </c>
      <c r="I22">
        <f>I21</f>
        <v>29.4</v>
      </c>
      <c r="J22">
        <v>0</v>
      </c>
      <c r="M22">
        <f>M21</f>
        <v>19.350000000000001</v>
      </c>
      <c r="N22">
        <v>0</v>
      </c>
    </row>
    <row r="23" spans="1:19" x14ac:dyDescent="0.25">
      <c r="A23">
        <f>22+59/60</f>
        <v>22.983333333333334</v>
      </c>
      <c r="B23">
        <v>0</v>
      </c>
      <c r="D23" s="1">
        <f>$A23-$A22</f>
        <v>1.1500000000000021</v>
      </c>
      <c r="I23">
        <f>30+5/60</f>
        <v>30.083333333333332</v>
      </c>
      <c r="J23">
        <v>0</v>
      </c>
      <c r="L23" s="9">
        <f>$I23-$I22</f>
        <v>0.68333333333333357</v>
      </c>
      <c r="M23">
        <f>20+5/60</f>
        <v>20.083333333333332</v>
      </c>
      <c r="N23">
        <v>0</v>
      </c>
      <c r="P23" s="9">
        <f>$M23-$M22</f>
        <v>0.73333333333333073</v>
      </c>
    </row>
    <row r="24" spans="1:19" x14ac:dyDescent="0.25">
      <c r="A24">
        <f>A23</f>
        <v>22.983333333333334</v>
      </c>
      <c r="B24">
        <v>1</v>
      </c>
      <c r="I24">
        <f>I23</f>
        <v>30.083333333333332</v>
      </c>
      <c r="J24">
        <v>1</v>
      </c>
      <c r="M24">
        <f>M23</f>
        <v>20.083333333333332</v>
      </c>
      <c r="N24">
        <v>1</v>
      </c>
    </row>
    <row r="25" spans="1:19" x14ac:dyDescent="0.25">
      <c r="A25">
        <f>23+15/60</f>
        <v>23.25</v>
      </c>
      <c r="B25">
        <v>1</v>
      </c>
      <c r="C25">
        <f>A25-A24</f>
        <v>0.26666666666666572</v>
      </c>
      <c r="I25">
        <f>49+43/60</f>
        <v>49.716666666666669</v>
      </c>
      <c r="J25">
        <v>1</v>
      </c>
      <c r="K25">
        <f>I25-I24</f>
        <v>19.633333333333336</v>
      </c>
      <c r="M25">
        <f>21+48/60</f>
        <v>21.8</v>
      </c>
      <c r="N25">
        <v>1</v>
      </c>
      <c r="O25">
        <f>M25-M24</f>
        <v>1.7166666666666686</v>
      </c>
    </row>
    <row r="26" spans="1:19" x14ac:dyDescent="0.25">
      <c r="A26">
        <f>A25</f>
        <v>23.25</v>
      </c>
      <c r="B26">
        <v>0</v>
      </c>
      <c r="I26">
        <f>I25</f>
        <v>49.716666666666669</v>
      </c>
      <c r="J26">
        <v>0</v>
      </c>
      <c r="M26">
        <f>M25</f>
        <v>21.8</v>
      </c>
      <c r="N26">
        <v>0</v>
      </c>
    </row>
    <row r="27" spans="1:19" x14ac:dyDescent="0.25">
      <c r="A27">
        <f>24+15/60</f>
        <v>24.25</v>
      </c>
      <c r="B27">
        <v>0</v>
      </c>
      <c r="D27" s="1">
        <f>$A27-$A26</f>
        <v>1</v>
      </c>
      <c r="I27">
        <f>55+1/60</f>
        <v>55.016666666666666</v>
      </c>
      <c r="J27">
        <v>0</v>
      </c>
      <c r="L27" s="9">
        <f>$I27-$I26</f>
        <v>5.2999999999999972</v>
      </c>
      <c r="M27">
        <f>29+35/60</f>
        <v>29.583333333333332</v>
      </c>
      <c r="N27">
        <v>0</v>
      </c>
      <c r="P27" s="9">
        <f>$M27-$M26</f>
        <v>7.7833333333333314</v>
      </c>
    </row>
    <row r="28" spans="1:19" x14ac:dyDescent="0.25">
      <c r="A28">
        <f>A27</f>
        <v>24.25</v>
      </c>
      <c r="B28">
        <v>1</v>
      </c>
      <c r="I28">
        <f>I27</f>
        <v>55.016666666666666</v>
      </c>
      <c r="J28">
        <v>1</v>
      </c>
      <c r="M28">
        <f>M27</f>
        <v>29.583333333333332</v>
      </c>
      <c r="N28">
        <v>1</v>
      </c>
    </row>
    <row r="29" spans="1:19" x14ac:dyDescent="0.25">
      <c r="A29">
        <f>26+6/60</f>
        <v>26.1</v>
      </c>
      <c r="B29">
        <v>1</v>
      </c>
      <c r="C29">
        <f>A29-A28</f>
        <v>1.8500000000000014</v>
      </c>
      <c r="I29">
        <f>57+46/60</f>
        <v>57.766666666666666</v>
      </c>
      <c r="J29">
        <v>1</v>
      </c>
      <c r="K29">
        <f>I29-I28</f>
        <v>2.75</v>
      </c>
      <c r="M29">
        <f>30+27/60</f>
        <v>30.45</v>
      </c>
      <c r="N29">
        <v>1</v>
      </c>
      <c r="O29">
        <f>M29-M28</f>
        <v>0.86666666666666714</v>
      </c>
    </row>
    <row r="30" spans="1:19" x14ac:dyDescent="0.25">
      <c r="A30">
        <f>A29</f>
        <v>26.1</v>
      </c>
      <c r="B30">
        <v>0</v>
      </c>
      <c r="I30">
        <f>I29</f>
        <v>57.766666666666666</v>
      </c>
      <c r="J30">
        <v>0</v>
      </c>
      <c r="M30">
        <f>M29</f>
        <v>30.45</v>
      </c>
      <c r="N30">
        <v>0</v>
      </c>
    </row>
    <row r="31" spans="1:19" x14ac:dyDescent="0.25">
      <c r="A31">
        <f>28+18/60</f>
        <v>28.3</v>
      </c>
      <c r="B31">
        <v>0</v>
      </c>
      <c r="D31" s="1">
        <f>$A31-$A30</f>
        <v>2.1999999999999993</v>
      </c>
      <c r="I31">
        <f>57+52/60</f>
        <v>57.866666666666667</v>
      </c>
      <c r="J31">
        <v>0</v>
      </c>
      <c r="L31" s="9">
        <f>$I31-$I30</f>
        <v>0.10000000000000142</v>
      </c>
      <c r="M31">
        <f>32+36/60</f>
        <v>32.6</v>
      </c>
      <c r="N31">
        <v>0</v>
      </c>
      <c r="P31" s="9">
        <f>$M31-$M30</f>
        <v>2.1500000000000021</v>
      </c>
    </row>
    <row r="32" spans="1:19" x14ac:dyDescent="0.25">
      <c r="A32">
        <f>A31</f>
        <v>28.3</v>
      </c>
      <c r="B32">
        <v>1</v>
      </c>
      <c r="I32">
        <f>I31</f>
        <v>57.866666666666667</v>
      </c>
      <c r="J32">
        <v>1</v>
      </c>
      <c r="M32">
        <f>M31</f>
        <v>32.6</v>
      </c>
      <c r="N32">
        <v>1</v>
      </c>
    </row>
    <row r="33" spans="1:16" x14ac:dyDescent="0.25">
      <c r="A33">
        <f>29+32/60</f>
        <v>29.533333333333335</v>
      </c>
      <c r="B33">
        <v>1</v>
      </c>
      <c r="C33">
        <f>A33-A32</f>
        <v>1.2333333333333343</v>
      </c>
      <c r="I33">
        <f>A63</f>
        <v>63.383333333333333</v>
      </c>
      <c r="J33">
        <v>1</v>
      </c>
      <c r="K33">
        <f>I33-I32</f>
        <v>5.5166666666666657</v>
      </c>
      <c r="M33">
        <f>33</f>
        <v>33</v>
      </c>
      <c r="N33">
        <v>1</v>
      </c>
      <c r="O33">
        <f>M33-M32</f>
        <v>0.39999999999999858</v>
      </c>
    </row>
    <row r="34" spans="1:16" x14ac:dyDescent="0.25">
      <c r="A34">
        <f>A33</f>
        <v>29.533333333333335</v>
      </c>
      <c r="B34">
        <v>0</v>
      </c>
      <c r="I34">
        <f>I33</f>
        <v>63.383333333333333</v>
      </c>
      <c r="J34">
        <v>0</v>
      </c>
      <c r="M34">
        <f>M33</f>
        <v>33</v>
      </c>
      <c r="N34">
        <v>0</v>
      </c>
    </row>
    <row r="35" spans="1:16" x14ac:dyDescent="0.25">
      <c r="A35">
        <f>33+52/50</f>
        <v>34.04</v>
      </c>
      <c r="B35">
        <v>0</v>
      </c>
      <c r="M35">
        <f>A63</f>
        <v>63.383333333333333</v>
      </c>
      <c r="N35">
        <v>0</v>
      </c>
      <c r="P35" s="9">
        <f>$M35-$M34</f>
        <v>30.383333333333333</v>
      </c>
    </row>
    <row r="36" spans="1:16" x14ac:dyDescent="0.25">
      <c r="A36">
        <f>A35</f>
        <v>34.04</v>
      </c>
      <c r="B36">
        <v>1</v>
      </c>
      <c r="M36">
        <f>M35</f>
        <v>63.383333333333333</v>
      </c>
      <c r="N36">
        <v>1</v>
      </c>
    </row>
    <row r="37" spans="1:16" x14ac:dyDescent="0.25">
      <c r="A37">
        <f>34+22/60</f>
        <v>34.366666666666667</v>
      </c>
      <c r="B37">
        <v>1</v>
      </c>
      <c r="C37">
        <f>A37-A36</f>
        <v>0.32666666666666799</v>
      </c>
    </row>
    <row r="38" spans="1:16" x14ac:dyDescent="0.25">
      <c r="A38">
        <f>A37</f>
        <v>34.366666666666667</v>
      </c>
      <c r="B38">
        <v>0</v>
      </c>
    </row>
    <row r="39" spans="1:16" x14ac:dyDescent="0.25">
      <c r="A39">
        <f>37+55/60</f>
        <v>37.916666666666664</v>
      </c>
      <c r="B39">
        <v>0</v>
      </c>
      <c r="D39" s="1">
        <f>$A39-$A38</f>
        <v>3.5499999999999972</v>
      </c>
    </row>
    <row r="40" spans="1:16" x14ac:dyDescent="0.25">
      <c r="A40">
        <f>A39</f>
        <v>37.916666666666664</v>
      </c>
      <c r="B40">
        <v>1</v>
      </c>
    </row>
    <row r="41" spans="1:16" x14ac:dyDescent="0.25">
      <c r="A41">
        <f>39+11/60</f>
        <v>39.18333333333333</v>
      </c>
      <c r="B41">
        <v>1</v>
      </c>
      <c r="C41">
        <f>A41-A40</f>
        <v>1.2666666666666657</v>
      </c>
    </row>
    <row r="42" spans="1:16" x14ac:dyDescent="0.25">
      <c r="A42">
        <f>A41</f>
        <v>39.18333333333333</v>
      </c>
      <c r="B42">
        <v>0</v>
      </c>
    </row>
    <row r="43" spans="1:16" x14ac:dyDescent="0.25">
      <c r="A43">
        <f>40+1/60</f>
        <v>40.016666666666666</v>
      </c>
      <c r="B43">
        <v>0</v>
      </c>
      <c r="D43" s="1">
        <f>$A43-$A42</f>
        <v>0.8333333333333357</v>
      </c>
    </row>
    <row r="44" spans="1:16" x14ac:dyDescent="0.25">
      <c r="A44">
        <f>A43</f>
        <v>40.016666666666666</v>
      </c>
      <c r="B44">
        <v>1</v>
      </c>
    </row>
    <row r="45" spans="1:16" x14ac:dyDescent="0.25">
      <c r="A45">
        <f>43+7/60</f>
        <v>43.116666666666667</v>
      </c>
      <c r="B45">
        <v>1</v>
      </c>
      <c r="C45">
        <f>A45-A44</f>
        <v>3.1000000000000014</v>
      </c>
    </row>
    <row r="46" spans="1:16" x14ac:dyDescent="0.25">
      <c r="A46">
        <f>A45</f>
        <v>43.116666666666667</v>
      </c>
      <c r="B46">
        <v>0</v>
      </c>
    </row>
    <row r="47" spans="1:16" x14ac:dyDescent="0.25">
      <c r="A47">
        <f>46+29/60</f>
        <v>46.483333333333334</v>
      </c>
      <c r="B47">
        <v>0</v>
      </c>
      <c r="D47" s="1">
        <f>$A47-$A46</f>
        <v>3.3666666666666671</v>
      </c>
    </row>
    <row r="48" spans="1:16" x14ac:dyDescent="0.25">
      <c r="A48">
        <f>A47</f>
        <v>46.483333333333334</v>
      </c>
      <c r="B48">
        <v>1</v>
      </c>
    </row>
    <row r="49" spans="1:4" x14ac:dyDescent="0.25">
      <c r="A49">
        <f>49+22/60</f>
        <v>49.366666666666667</v>
      </c>
      <c r="B49">
        <v>1</v>
      </c>
      <c r="C49">
        <f>A49-A48</f>
        <v>2.8833333333333329</v>
      </c>
    </row>
    <row r="50" spans="1:4" x14ac:dyDescent="0.25">
      <c r="A50">
        <f>A49</f>
        <v>49.366666666666667</v>
      </c>
      <c r="B50">
        <v>0</v>
      </c>
    </row>
    <row r="51" spans="1:4" x14ac:dyDescent="0.25">
      <c r="A51">
        <f>50+8/60</f>
        <v>50.133333333333333</v>
      </c>
      <c r="B51">
        <v>0</v>
      </c>
      <c r="D51" s="1">
        <f>$A51-$A50</f>
        <v>0.76666666666666572</v>
      </c>
    </row>
    <row r="52" spans="1:4" x14ac:dyDescent="0.25">
      <c r="A52">
        <f>A51</f>
        <v>50.133333333333333</v>
      </c>
      <c r="B52">
        <v>1</v>
      </c>
    </row>
    <row r="53" spans="1:4" x14ac:dyDescent="0.25">
      <c r="A53">
        <f>53+43/60</f>
        <v>53.716666666666669</v>
      </c>
      <c r="B53">
        <v>1</v>
      </c>
      <c r="C53">
        <f>A53-A52</f>
        <v>3.5833333333333357</v>
      </c>
    </row>
    <row r="54" spans="1:4" x14ac:dyDescent="0.25">
      <c r="A54">
        <f>A53</f>
        <v>53.716666666666669</v>
      </c>
      <c r="B54">
        <v>0</v>
      </c>
    </row>
    <row r="55" spans="1:4" x14ac:dyDescent="0.25">
      <c r="A55">
        <f>54+17/60</f>
        <v>54.283333333333331</v>
      </c>
      <c r="B55">
        <v>0</v>
      </c>
      <c r="D55" s="1">
        <f>$A55-$A54</f>
        <v>0.56666666666666288</v>
      </c>
    </row>
    <row r="56" spans="1:4" x14ac:dyDescent="0.25">
      <c r="A56">
        <f>A55</f>
        <v>54.283333333333331</v>
      </c>
      <c r="B56">
        <v>1</v>
      </c>
    </row>
    <row r="57" spans="1:4" x14ac:dyDescent="0.25">
      <c r="A57">
        <f>55+37/60</f>
        <v>55.616666666666667</v>
      </c>
      <c r="B57">
        <v>1</v>
      </c>
      <c r="C57">
        <f>A57-A56</f>
        <v>1.3333333333333357</v>
      </c>
    </row>
    <row r="58" spans="1:4" x14ac:dyDescent="0.25">
      <c r="A58">
        <f>A57</f>
        <v>55.616666666666667</v>
      </c>
      <c r="B58">
        <v>0</v>
      </c>
    </row>
    <row r="59" spans="1:4" x14ac:dyDescent="0.25">
      <c r="A59">
        <f>57+19/60</f>
        <v>57.31666666666667</v>
      </c>
      <c r="B59">
        <v>0</v>
      </c>
      <c r="D59" s="1">
        <f>$A59-$A58</f>
        <v>1.7000000000000028</v>
      </c>
    </row>
    <row r="60" spans="1:4" x14ac:dyDescent="0.25">
      <c r="A60">
        <f>A59</f>
        <v>57.31666666666667</v>
      </c>
      <c r="B60">
        <v>1</v>
      </c>
    </row>
    <row r="61" spans="1:4" x14ac:dyDescent="0.25">
      <c r="A61">
        <f>57+44/60</f>
        <v>57.733333333333334</v>
      </c>
      <c r="B61">
        <v>1</v>
      </c>
      <c r="C61">
        <f>A61-A60</f>
        <v>0.4166666666666643</v>
      </c>
    </row>
    <row r="62" spans="1:4" x14ac:dyDescent="0.25">
      <c r="A62">
        <f>A61</f>
        <v>57.733333333333334</v>
      </c>
      <c r="B62">
        <v>0</v>
      </c>
    </row>
    <row r="63" spans="1:4" x14ac:dyDescent="0.25">
      <c r="A63">
        <f>63+23/60</f>
        <v>63.383333333333333</v>
      </c>
      <c r="B63">
        <v>0</v>
      </c>
      <c r="D63" s="1">
        <f>$A63-$A62</f>
        <v>5.6499999999999986</v>
      </c>
    </row>
    <row r="65" spans="1:27" x14ac:dyDescent="0.25">
      <c r="B65" t="s">
        <v>14</v>
      </c>
      <c r="C65">
        <f>AVERAGE(C2:C64)</f>
        <v>2.2717777777777779</v>
      </c>
      <c r="F65" t="s">
        <v>14</v>
      </c>
      <c r="G65">
        <f>AVERAGE(G2:G64)</f>
        <v>4.3166666666666673</v>
      </c>
      <c r="J65" t="s">
        <v>14</v>
      </c>
      <c r="K65">
        <f>AVERAGE(K2:K64)</f>
        <v>5.4187500000000002</v>
      </c>
      <c r="N65" t="s">
        <v>14</v>
      </c>
      <c r="O65">
        <f>AVERAGE(O2:O64)</f>
        <v>2.385416666666667</v>
      </c>
      <c r="R65" t="s">
        <v>14</v>
      </c>
      <c r="S65">
        <f>AVERAGE(S2:S64)</f>
        <v>12.979166666666668</v>
      </c>
      <c r="V65" t="s">
        <v>14</v>
      </c>
      <c r="W65">
        <f>AVERAGE(W2:W64)</f>
        <v>6.5666666666666664</v>
      </c>
      <c r="Z65" t="s">
        <v>14</v>
      </c>
      <c r="AA65">
        <f>AVERAGE(AA2:AA64)</f>
        <v>15.266666666666669</v>
      </c>
    </row>
    <row r="66" spans="1:27" x14ac:dyDescent="0.25">
      <c r="B66" t="s">
        <v>12</v>
      </c>
      <c r="C66">
        <f>STDEV(C2:C63)</f>
        <v>2.0580106231182884</v>
      </c>
      <c r="F66" t="s">
        <v>12</v>
      </c>
      <c r="G66" t="e">
        <f>STDEV(G2:G63)</f>
        <v>#DIV/0!</v>
      </c>
      <c r="J66" t="s">
        <v>12</v>
      </c>
      <c r="K66">
        <f>STDEV(K2:K63)</f>
        <v>7.0923412610711338</v>
      </c>
      <c r="N66" t="s">
        <v>12</v>
      </c>
      <c r="O66">
        <f>STDEV(O2:O63)</f>
        <v>3.0634485897277206</v>
      </c>
      <c r="R66" t="s">
        <v>12</v>
      </c>
      <c r="S66">
        <f>STDEV(S2:S63)</f>
        <v>20.036976813252412</v>
      </c>
      <c r="V66" t="s">
        <v>12</v>
      </c>
      <c r="W66">
        <f>STDEV(W2:W63)</f>
        <v>5.350441310978213</v>
      </c>
      <c r="Z66" t="s">
        <v>12</v>
      </c>
      <c r="AA66">
        <f>STDEV(AA2:AA63)</f>
        <v>11.337278725024317</v>
      </c>
    </row>
    <row r="67" spans="1:27" x14ac:dyDescent="0.25">
      <c r="B67" t="s">
        <v>15</v>
      </c>
      <c r="C67">
        <f>SUM(C2:C63)/A63</f>
        <v>0.53762818827241654</v>
      </c>
      <c r="F67" t="s">
        <v>15</v>
      </c>
      <c r="G67">
        <f>SUM(G2:G63)/A63</f>
        <v>6.8104128319747576E-2</v>
      </c>
      <c r="J67" t="s">
        <v>15</v>
      </c>
      <c r="K67">
        <f>SUM(K2:K63)/I34</f>
        <v>0.68393373652379708</v>
      </c>
      <c r="N67" t="s">
        <v>15</v>
      </c>
      <c r="O67">
        <f>SUM(O2:O63)/M36</f>
        <v>0.30107809623981069</v>
      </c>
      <c r="R67" t="s">
        <v>15</v>
      </c>
      <c r="S67">
        <f>SUM(S2:S63)/Q17</f>
        <v>0.81909019195372079</v>
      </c>
      <c r="V67" t="s">
        <v>15</v>
      </c>
      <c r="W67">
        <f>SUM(W2:W63)/U12</f>
        <v>0.20720483828556402</v>
      </c>
      <c r="Z67" t="s">
        <v>15</v>
      </c>
      <c r="AA67">
        <f>SUM(AA2:AA63)/Y12</f>
        <v>0.48172495398369719</v>
      </c>
    </row>
    <row r="69" spans="1:27" x14ac:dyDescent="0.25">
      <c r="A69" t="s">
        <v>13</v>
      </c>
      <c r="B69">
        <f>AVERAGE(C67,G67,K67,O67,S67,W67,AA67)</f>
        <v>0.44268059051125058</v>
      </c>
    </row>
    <row r="70" spans="1:27" x14ac:dyDescent="0.25">
      <c r="A70" t="s">
        <v>12</v>
      </c>
      <c r="B70">
        <f>STDEV(C67,G67,K67,O67,S67,W67,AA67)</f>
        <v>0.26653154893203662</v>
      </c>
    </row>
    <row r="72" spans="1:27" x14ac:dyDescent="0.25">
      <c r="A72" t="s">
        <v>69</v>
      </c>
      <c r="B72">
        <f>AVERAGE(C2:C63,G4:G37,K4:K33,O3:O34,S2:S17,W2:W12,AA2:AA12)</f>
        <v>4.9102499999999996</v>
      </c>
    </row>
    <row r="73" spans="1:27" x14ac:dyDescent="0.25">
      <c r="A73" t="s">
        <v>12</v>
      </c>
      <c r="B73">
        <f>STDEV(C2:C63,G4:G37,K4:K33,O3:O34,S2:S17,W2:W12,AA2:AA12)</f>
        <v>7.9694454041581562</v>
      </c>
    </row>
    <row r="77" spans="1:27" x14ac:dyDescent="0.25">
      <c r="A77" t="s">
        <v>70</v>
      </c>
      <c r="B77" s="9">
        <f>AVERAGE(D2:D63,H2:H35,L2:L31,P3:P35,T2:T17,X2:X12,AB2:AB12)</f>
        <v>5.4666666666666659</v>
      </c>
    </row>
    <row r="78" spans="1:27" x14ac:dyDescent="0.25">
      <c r="A78" t="s">
        <v>12</v>
      </c>
      <c r="B78">
        <f>STDEV(D2:D63,H2:H35,L2:L31,P3:P35,T2:T17,X2:X12,AB2:AB12)</f>
        <v>10.139594149128648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58CC-DFC0-4518-8970-2B1EEBF8C3D5}">
  <sheetPr codeName="Sheet4"/>
  <dimension ref="A1:N17"/>
  <sheetViews>
    <sheetView workbookViewId="0">
      <selection activeCell="I32" sqref="I32"/>
    </sheetView>
  </sheetViews>
  <sheetFormatPr defaultRowHeight="15" x14ac:dyDescent="0.25"/>
  <sheetData>
    <row r="1" spans="1:14" x14ac:dyDescent="0.25">
      <c r="A1" s="10"/>
      <c r="B1" s="10"/>
      <c r="C1" s="10"/>
      <c r="J1" s="1"/>
      <c r="K1" s="1"/>
      <c r="L1" s="1"/>
      <c r="M1" s="1"/>
      <c r="N1" s="1"/>
    </row>
    <row r="2" spans="1:14" x14ac:dyDescent="0.25">
      <c r="A2" t="s">
        <v>72</v>
      </c>
      <c r="J2" s="1"/>
      <c r="K2" s="1"/>
      <c r="L2" s="1"/>
      <c r="M2" s="1"/>
      <c r="N2" s="1"/>
    </row>
    <row r="3" spans="1:14" x14ac:dyDescent="0.25">
      <c r="A3" s="13">
        <v>13.7</v>
      </c>
      <c r="B3" t="s">
        <v>36</v>
      </c>
      <c r="C3" s="1"/>
      <c r="J3" s="1"/>
      <c r="K3" s="1"/>
      <c r="L3" s="1"/>
      <c r="M3" s="1"/>
      <c r="N3" s="1"/>
    </row>
    <row r="4" spans="1:14" x14ac:dyDescent="0.25">
      <c r="A4" t="s">
        <v>73</v>
      </c>
      <c r="J4" s="1"/>
      <c r="K4" s="1"/>
      <c r="L4" s="1"/>
      <c r="M4" s="1"/>
      <c r="N4" s="1"/>
    </row>
    <row r="5" spans="1:14" x14ac:dyDescent="0.25">
      <c r="A5" s="13">
        <v>4.3</v>
      </c>
      <c r="B5" t="s">
        <v>36</v>
      </c>
      <c r="J5" s="1"/>
      <c r="K5" s="1"/>
      <c r="L5" s="1"/>
      <c r="M5" s="1"/>
      <c r="N5" s="1"/>
    </row>
    <row r="6" spans="1:14" x14ac:dyDescent="0.25">
      <c r="A6" t="s">
        <v>35</v>
      </c>
      <c r="J6" s="1"/>
      <c r="K6" s="1"/>
      <c r="L6" s="1"/>
      <c r="M6" s="1"/>
      <c r="N6" s="1"/>
    </row>
    <row r="7" spans="1:14" x14ac:dyDescent="0.25">
      <c r="A7" s="12">
        <v>3.2</v>
      </c>
      <c r="B7" t="s">
        <v>36</v>
      </c>
      <c r="J7" s="1"/>
      <c r="K7" s="1"/>
      <c r="L7" s="1"/>
      <c r="M7" s="1"/>
      <c r="N7" s="1"/>
    </row>
    <row r="8" spans="1:14" x14ac:dyDescent="0.25">
      <c r="J8" s="1"/>
      <c r="K8" s="1"/>
      <c r="L8" s="1"/>
      <c r="M8" s="1"/>
      <c r="N8" s="1"/>
    </row>
    <row r="9" spans="1:14" x14ac:dyDescent="0.25">
      <c r="A9" t="s">
        <v>37</v>
      </c>
      <c r="B9">
        <v>8.8800000000000008</v>
      </c>
      <c r="C9" t="s">
        <v>4</v>
      </c>
      <c r="J9" s="1"/>
      <c r="K9" s="1"/>
      <c r="L9" s="1"/>
      <c r="M9" s="1"/>
      <c r="N9" s="1"/>
    </row>
    <row r="10" spans="1:14" x14ac:dyDescent="0.25">
      <c r="J10" s="1"/>
      <c r="K10" s="1"/>
      <c r="L10" s="1"/>
      <c r="M10" s="1"/>
      <c r="N10" s="1"/>
    </row>
    <row r="11" spans="1:14" x14ac:dyDescent="0.25">
      <c r="J11" s="1"/>
      <c r="K11" s="1"/>
      <c r="L11" s="1"/>
      <c r="M11" s="1"/>
      <c r="N11" s="1"/>
    </row>
    <row r="12" spans="1:14" x14ac:dyDescent="0.25">
      <c r="J12" s="1"/>
      <c r="K12" s="1"/>
      <c r="L12" s="1"/>
      <c r="M12" s="1"/>
      <c r="N12" s="1"/>
    </row>
    <row r="13" spans="1:14" x14ac:dyDescent="0.25">
      <c r="J13" s="1"/>
      <c r="K13" s="1"/>
      <c r="L13" s="1"/>
      <c r="M13" s="1"/>
      <c r="N13" s="1"/>
    </row>
    <row r="14" spans="1:14" x14ac:dyDescent="0.25">
      <c r="J14" s="1"/>
      <c r="K14" s="1"/>
      <c r="L14" s="1"/>
      <c r="M14" s="1"/>
      <c r="N14" s="1"/>
    </row>
    <row r="15" spans="1:14" x14ac:dyDescent="0.25">
      <c r="J15" s="1"/>
      <c r="K15" s="1"/>
      <c r="L15" s="1"/>
      <c r="M15" s="1"/>
      <c r="N15" s="1"/>
    </row>
    <row r="16" spans="1:14" x14ac:dyDescent="0.25">
      <c r="L16" s="1"/>
      <c r="M16" s="1"/>
      <c r="N16" s="1"/>
    </row>
    <row r="17" spans="10:14" x14ac:dyDescent="0.25">
      <c r="J17" s="1"/>
      <c r="K17" s="1"/>
      <c r="L17" s="1"/>
      <c r="M17" s="1"/>
      <c r="N1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1987-ABC7-4C23-BA55-8839D4FB7A1B}">
  <sheetPr codeName="Sheet5"/>
  <dimension ref="A1:N34"/>
  <sheetViews>
    <sheetView zoomScaleNormal="100" workbookViewId="0">
      <selection activeCell="B5" sqref="B5"/>
    </sheetView>
  </sheetViews>
  <sheetFormatPr defaultRowHeight="15" x14ac:dyDescent="0.25"/>
  <cols>
    <col min="1" max="1" width="9.140625" style="1"/>
    <col min="2" max="2" width="13.42578125" style="1" customWidth="1"/>
    <col min="3" max="3" width="10.28515625" style="1" bestFit="1" customWidth="1"/>
    <col min="4" max="4" width="10.28515625" style="1" customWidth="1"/>
    <col min="5" max="6" width="9.140625" style="1"/>
    <col min="7" max="7" width="13.42578125" style="1" customWidth="1"/>
    <col min="8" max="16384" width="9.140625" style="1"/>
  </cols>
  <sheetData>
    <row r="1" spans="1:14" x14ac:dyDescent="0.25">
      <c r="A1" s="1" t="s">
        <v>77</v>
      </c>
    </row>
    <row r="2" spans="1:14" x14ac:dyDescent="0.25">
      <c r="A2" s="1" t="s">
        <v>16</v>
      </c>
      <c r="B2" s="1" t="s">
        <v>74</v>
      </c>
      <c r="C2" s="1" t="s">
        <v>75</v>
      </c>
      <c r="D2" s="1" t="s">
        <v>76</v>
      </c>
      <c r="F2" s="1" t="s">
        <v>79</v>
      </c>
      <c r="G2" s="1" t="s">
        <v>80</v>
      </c>
      <c r="J2" s="1" t="s">
        <v>33</v>
      </c>
      <c r="K2" s="1">
        <v>7.4999999999999997E-3</v>
      </c>
      <c r="M2" s="2" t="s">
        <v>38</v>
      </c>
    </row>
    <row r="3" spans="1:14" x14ac:dyDescent="0.25">
      <c r="A3" s="1">
        <v>500</v>
      </c>
      <c r="B3" s="1">
        <v>6.3601999999999999</v>
      </c>
      <c r="C3" s="1">
        <v>11.4612</v>
      </c>
      <c r="J3" s="1" t="s">
        <v>34</v>
      </c>
      <c r="K3" s="1">
        <v>64.337000000000003</v>
      </c>
      <c r="M3" s="1">
        <v>175</v>
      </c>
      <c r="N3" s="1" t="s">
        <v>29</v>
      </c>
    </row>
    <row r="4" spans="1:14" x14ac:dyDescent="0.25">
      <c r="A4" s="1">
        <v>1000</v>
      </c>
      <c r="B4" s="1">
        <v>46.4328</v>
      </c>
      <c r="C4" s="1">
        <v>38.520400000000002</v>
      </c>
      <c r="D4" s="1">
        <v>53.6999</v>
      </c>
      <c r="F4" s="1">
        <f>C4-B4</f>
        <v>-7.9123999999999981</v>
      </c>
      <c r="G4" s="1">
        <f>D4-B4</f>
        <v>7.2670999999999992</v>
      </c>
      <c r="M4" s="1">
        <v>1000</v>
      </c>
      <c r="N4" s="1" t="s">
        <v>30</v>
      </c>
    </row>
    <row r="5" spans="1:14" x14ac:dyDescent="0.25">
      <c r="A5" s="1">
        <v>3000</v>
      </c>
      <c r="B5" s="1">
        <v>102.1786</v>
      </c>
      <c r="C5" s="1">
        <v>100.3386</v>
      </c>
      <c r="D5" s="1">
        <v>95.483900000000006</v>
      </c>
      <c r="F5" s="9">
        <f>C5-B5</f>
        <v>-1.8400000000000034</v>
      </c>
      <c r="G5" s="9">
        <f>D5-B5</f>
        <v>-6.6946999999999974</v>
      </c>
      <c r="M5" s="1">
        <f>(0.1^3)*(4/3)*PI()*'larva size'!A3*'larva size'!A5*'larva size'!A7/8</f>
        <v>9.8704652385586511E-2</v>
      </c>
      <c r="N5" s="1" t="s">
        <v>31</v>
      </c>
    </row>
    <row r="6" spans="1:14" x14ac:dyDescent="0.25">
      <c r="A6" s="1">
        <v>5000</v>
      </c>
      <c r="B6" s="1">
        <v>126.1653</v>
      </c>
      <c r="C6" s="1">
        <v>128.76159999999999</v>
      </c>
      <c r="D6" s="1">
        <v>126.5989</v>
      </c>
      <c r="F6" s="9">
        <f>C6-B6</f>
        <v>2.5962999999999852</v>
      </c>
      <c r="G6" s="9">
        <f>D6-B6</f>
        <v>0.43359999999999843</v>
      </c>
      <c r="M6" s="1">
        <f>M5*M4</f>
        <v>98.704652385586513</v>
      </c>
      <c r="N6" s="1" t="s">
        <v>29</v>
      </c>
    </row>
    <row r="7" spans="1:14" x14ac:dyDescent="0.25">
      <c r="A7" s="1">
        <v>10000</v>
      </c>
      <c r="B7" s="1">
        <v>125.20659999999999</v>
      </c>
      <c r="C7" s="1">
        <v>119.381</v>
      </c>
      <c r="D7" s="9">
        <v>114.7662</v>
      </c>
      <c r="F7" s="9">
        <f t="shared" ref="F7" si="0">C7-B7</f>
        <v>-5.8255999999999943</v>
      </c>
      <c r="G7" s="9">
        <f>D7-B7</f>
        <v>-10.440399999999997</v>
      </c>
      <c r="M7" s="1">
        <f>M6/M3</f>
        <v>0.56402658506049441</v>
      </c>
      <c r="N7" s="1" t="s">
        <v>32</v>
      </c>
    </row>
    <row r="9" spans="1:14" x14ac:dyDescent="0.25">
      <c r="I9" s="5"/>
    </row>
    <row r="10" spans="1:14" x14ac:dyDescent="0.25">
      <c r="I10" s="5"/>
    </row>
    <row r="13" spans="1:14" x14ac:dyDescent="0.25">
      <c r="A13" s="1" t="s">
        <v>78</v>
      </c>
    </row>
    <row r="14" spans="1:14" x14ac:dyDescent="0.25">
      <c r="B14" s="1" t="s">
        <v>17</v>
      </c>
      <c r="C14" s="1" t="s">
        <v>18</v>
      </c>
      <c r="D14" s="1" t="s">
        <v>42</v>
      </c>
      <c r="E14" s="1" t="s">
        <v>68</v>
      </c>
    </row>
    <row r="15" spans="1:14" x14ac:dyDescent="0.25">
      <c r="A15" s="1" t="s">
        <v>41</v>
      </c>
      <c r="B15" s="1">
        <v>-1.6999999999999999E-3</v>
      </c>
      <c r="C15" s="1">
        <v>6.0000000000000001E-3</v>
      </c>
      <c r="D15" s="1">
        <v>-5.9999999999999995E-4</v>
      </c>
      <c r="E15" s="4">
        <v>7.0000000000000007E-2</v>
      </c>
    </row>
    <row r="16" spans="1:14" x14ac:dyDescent="0.25">
      <c r="A16" s="1" t="s">
        <v>40</v>
      </c>
      <c r="B16" s="1">
        <v>1.4E-3</v>
      </c>
      <c r="C16" s="1">
        <v>7.7000000000000002E-3</v>
      </c>
      <c r="D16" s="1">
        <v>8.9999999999999998E-4</v>
      </c>
      <c r="E16" s="5">
        <v>0.09</v>
      </c>
    </row>
    <row r="18" spans="1:6" x14ac:dyDescent="0.25">
      <c r="A18" s="1" t="s">
        <v>47</v>
      </c>
      <c r="B18" s="1" t="s">
        <v>36</v>
      </c>
      <c r="C18" s="1" t="s">
        <v>51</v>
      </c>
    </row>
    <row r="19" spans="1:6" x14ac:dyDescent="0.25">
      <c r="A19" s="1" t="s">
        <v>48</v>
      </c>
      <c r="B19" s="12">
        <f>'larva size'!A3</f>
        <v>13.7</v>
      </c>
      <c r="C19" s="12">
        <f>B19/10</f>
        <v>1.3699999999999999</v>
      </c>
      <c r="D19" s="1">
        <f>B19/1000</f>
        <v>1.3699999999999999E-2</v>
      </c>
    </row>
    <row r="20" spans="1:6" x14ac:dyDescent="0.25">
      <c r="A20" s="1" t="s">
        <v>49</v>
      </c>
      <c r="B20" s="12">
        <f>'larva size'!A5</f>
        <v>4.3</v>
      </c>
      <c r="C20" s="12">
        <f>B20/10</f>
        <v>0.43</v>
      </c>
      <c r="D20" s="9">
        <f t="shared" ref="D20:D21" si="1">B20/1000</f>
        <v>4.3E-3</v>
      </c>
    </row>
    <row r="21" spans="1:6" x14ac:dyDescent="0.25">
      <c r="A21" s="1" t="s">
        <v>50</v>
      </c>
      <c r="B21" s="12">
        <f>'larva size'!A7</f>
        <v>3.2</v>
      </c>
      <c r="C21" s="12">
        <f>B21/10</f>
        <v>0.32</v>
      </c>
      <c r="D21" s="9">
        <f t="shared" si="1"/>
        <v>3.2000000000000002E-3</v>
      </c>
    </row>
    <row r="26" spans="1:6" x14ac:dyDescent="0.25">
      <c r="B26" s="9"/>
    </row>
    <row r="32" spans="1:6" x14ac:dyDescent="0.25">
      <c r="F32" s="3"/>
    </row>
    <row r="33" spans="6:6" x14ac:dyDescent="0.25">
      <c r="F33" s="3"/>
    </row>
    <row r="34" spans="6:6" x14ac:dyDescent="0.25">
      <c r="F34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CFBA-5949-49FB-B5F7-5163352F2635}">
  <dimension ref="A1:U69"/>
  <sheetViews>
    <sheetView tabSelected="1" zoomScaleNormal="100" workbookViewId="0">
      <selection activeCell="G28" sqref="G28"/>
    </sheetView>
  </sheetViews>
  <sheetFormatPr defaultRowHeight="15" x14ac:dyDescent="0.25"/>
  <cols>
    <col min="1" max="1" width="11.28515625" style="1" customWidth="1"/>
    <col min="2" max="4" width="9.140625" style="1"/>
    <col min="5" max="5" width="22.42578125" style="1" bestFit="1" customWidth="1"/>
    <col min="6" max="6" width="18.140625" style="1" bestFit="1" customWidth="1"/>
    <col min="7" max="7" width="24.28515625" style="1" bestFit="1" customWidth="1"/>
    <col min="8" max="11" width="9.140625" style="1"/>
    <col min="12" max="12" width="10.5703125" style="1" bestFit="1" customWidth="1"/>
    <col min="13" max="16384" width="9.140625" style="1"/>
  </cols>
  <sheetData>
    <row r="1" spans="1:21" x14ac:dyDescent="0.25">
      <c r="A1" s="1" t="s">
        <v>2</v>
      </c>
      <c r="I1" s="1" t="s">
        <v>3</v>
      </c>
      <c r="K1" s="1" t="s">
        <v>5</v>
      </c>
      <c r="L1" s="11">
        <f>AVERAGE(I2:I4)</f>
        <v>2.6998573526326747E-2</v>
      </c>
      <c r="M1" s="1" t="s">
        <v>64</v>
      </c>
      <c r="N1" s="1">
        <f>24*L1/0.1</f>
        <v>6.4796576463184197</v>
      </c>
      <c r="O1" s="1" t="s">
        <v>63</v>
      </c>
      <c r="T1" s="1" t="s">
        <v>33</v>
      </c>
      <c r="U1" s="1">
        <v>5.16E-2</v>
      </c>
    </row>
    <row r="2" spans="1:21" x14ac:dyDescent="0.25">
      <c r="A2" s="1" t="s">
        <v>7</v>
      </c>
      <c r="B2" s="1" t="s">
        <v>67</v>
      </c>
      <c r="C2" s="1" t="s">
        <v>81</v>
      </c>
      <c r="I2" s="1">
        <f>G7/A7</f>
        <v>1.1967526746381293E-2</v>
      </c>
      <c r="K2" s="1" t="s">
        <v>6</v>
      </c>
      <c r="L2" s="11">
        <f>STDEV(I2:I4)</f>
        <v>1.7337364376825502E-2</v>
      </c>
      <c r="M2" s="1" t="s">
        <v>64</v>
      </c>
      <c r="N2" s="1">
        <f>24*U4/0.1/10000</f>
        <v>1.6221119999999998</v>
      </c>
      <c r="O2" s="9" t="s">
        <v>63</v>
      </c>
      <c r="T2" s="1" t="s">
        <v>34</v>
      </c>
      <c r="U2" s="1">
        <v>0</v>
      </c>
    </row>
    <row r="3" spans="1:21" x14ac:dyDescent="0.25">
      <c r="A3" s="1">
        <v>9.5340000000000007</v>
      </c>
      <c r="B3" s="1">
        <v>9.516</v>
      </c>
      <c r="C3" s="1">
        <f>(A3-B3)/A3</f>
        <v>1.8879798615482148E-3</v>
      </c>
      <c r="D3" s="1" t="s">
        <v>66</v>
      </c>
      <c r="I3" s="1">
        <f>G8/A8</f>
        <v>2.3062680931403266E-2</v>
      </c>
      <c r="T3" s="1" t="s">
        <v>45</v>
      </c>
      <c r="U3" s="1">
        <f>0.00002</f>
        <v>2.0000000000000002E-5</v>
      </c>
    </row>
    <row r="4" spans="1:21" x14ac:dyDescent="0.25">
      <c r="I4" s="1">
        <f>G9/A9</f>
        <v>4.5965512901195688E-2</v>
      </c>
      <c r="T4" s="1" t="s">
        <v>46</v>
      </c>
      <c r="U4" s="1">
        <v>67.587999999999994</v>
      </c>
    </row>
    <row r="5" spans="1:21" x14ac:dyDescent="0.25">
      <c r="A5" s="1" t="s">
        <v>0</v>
      </c>
      <c r="T5" s="1" t="s">
        <v>44</v>
      </c>
      <c r="U5" s="1">
        <f>(U4-U2)/(U1-U3)</f>
        <v>1310.3528499418378</v>
      </c>
    </row>
    <row r="6" spans="1:21" x14ac:dyDescent="0.25">
      <c r="A6" s="1" t="s">
        <v>1</v>
      </c>
      <c r="B6" s="1">
        <v>0</v>
      </c>
      <c r="C6" s="1">
        <v>5</v>
      </c>
      <c r="D6" s="1">
        <v>30</v>
      </c>
      <c r="E6" s="1" t="s">
        <v>71</v>
      </c>
      <c r="F6" s="1" t="s">
        <v>43</v>
      </c>
      <c r="G6" s="1" t="s">
        <v>8</v>
      </c>
      <c r="H6" s="1" t="s">
        <v>52</v>
      </c>
    </row>
    <row r="7" spans="1:21" x14ac:dyDescent="0.25">
      <c r="A7" s="5">
        <v>10</v>
      </c>
      <c r="B7" s="1">
        <v>8.0310000000000006</v>
      </c>
      <c r="D7" s="1">
        <v>7.9560000000000004</v>
      </c>
      <c r="E7" s="8">
        <f t="shared" ref="E7:E9" si="0">$C$3*B7</f>
        <v>1.5162366268093714E-2</v>
      </c>
      <c r="F7" s="8">
        <f>(B7-D7-E7)/$D$6</f>
        <v>1.9945877910635488E-3</v>
      </c>
      <c r="G7" s="8">
        <f t="shared" ref="G7:G9" si="1">F7*60</f>
        <v>0.11967526746381293</v>
      </c>
      <c r="H7" s="8">
        <f>G7/(0.1)</f>
        <v>1.1967526746381292</v>
      </c>
    </row>
    <row r="8" spans="1:21" x14ac:dyDescent="0.25">
      <c r="A8" s="5">
        <v>10</v>
      </c>
      <c r="B8" s="1">
        <v>7.7789999999999999</v>
      </c>
      <c r="D8" s="1">
        <v>7.649</v>
      </c>
      <c r="E8" s="8">
        <f t="shared" si="0"/>
        <v>1.4686595342983564E-2</v>
      </c>
      <c r="F8" s="8">
        <f t="shared" ref="F8:F18" si="2">(B8-D8-E8)/$D$6</f>
        <v>3.8437801552338776E-3</v>
      </c>
      <c r="G8" s="8">
        <f t="shared" si="1"/>
        <v>0.23062680931403265</v>
      </c>
      <c r="H8" s="8">
        <f t="shared" ref="H8:H9" si="3">G8/(0.1)</f>
        <v>2.3062680931403263</v>
      </c>
    </row>
    <row r="9" spans="1:21" x14ac:dyDescent="0.25">
      <c r="A9" s="5">
        <v>10</v>
      </c>
      <c r="B9" s="1">
        <v>8.5660000000000007</v>
      </c>
      <c r="D9" s="1">
        <v>8.32</v>
      </c>
      <c r="E9" s="8">
        <f t="shared" si="0"/>
        <v>1.617243549402201E-2</v>
      </c>
      <c r="F9" s="8">
        <f t="shared" si="2"/>
        <v>7.6609188168659482E-3</v>
      </c>
      <c r="G9" s="8">
        <f t="shared" si="1"/>
        <v>0.45965512901195688</v>
      </c>
      <c r="H9" s="8">
        <f t="shared" si="3"/>
        <v>4.5965512901195682</v>
      </c>
    </row>
    <row r="10" spans="1:21" x14ac:dyDescent="0.25">
      <c r="A10" s="5">
        <v>100</v>
      </c>
      <c r="B10" s="1">
        <v>9.1920000000000002</v>
      </c>
      <c r="D10" s="1">
        <v>7.7839999999999998</v>
      </c>
      <c r="E10" s="8">
        <f t="shared" ref="E10:E18" si="4">$C$3*B10</f>
        <v>1.735431088735119E-2</v>
      </c>
      <c r="F10" s="8">
        <f t="shared" si="2"/>
        <v>4.6354856303754972E-2</v>
      </c>
      <c r="G10" s="8">
        <f t="shared" ref="G10:G15" si="5">F10*60</f>
        <v>2.7812913782252981</v>
      </c>
      <c r="H10" s="8">
        <f>G10/(0.1)</f>
        <v>27.812913782252981</v>
      </c>
    </row>
    <row r="11" spans="1:21" x14ac:dyDescent="0.25">
      <c r="A11" s="5">
        <v>100</v>
      </c>
      <c r="B11" s="1">
        <v>8.9149999999999991</v>
      </c>
      <c r="D11" s="1">
        <v>6.3540000000000001</v>
      </c>
      <c r="E11" s="8">
        <f t="shared" si="4"/>
        <v>1.6831340465702335E-2</v>
      </c>
      <c r="F11" s="8">
        <f t="shared" si="2"/>
        <v>8.4805621984476567E-2</v>
      </c>
      <c r="G11" s="8">
        <f t="shared" si="5"/>
        <v>5.0883373190685939</v>
      </c>
      <c r="H11" s="8">
        <f t="shared" ref="H11:H32" si="6">24*G11/(A11*0.1)</f>
        <v>12.212009565764626</v>
      </c>
    </row>
    <row r="12" spans="1:21" x14ac:dyDescent="0.25">
      <c r="A12" s="5">
        <v>100</v>
      </c>
      <c r="B12" s="1">
        <v>9.6950000000000003</v>
      </c>
      <c r="D12" s="1">
        <v>8.3019999999999996</v>
      </c>
      <c r="E12" s="8">
        <f t="shared" si="4"/>
        <v>1.8303964757709942E-2</v>
      </c>
      <c r="F12" s="8">
        <f t="shared" si="2"/>
        <v>4.5823201174743027E-2</v>
      </c>
      <c r="G12" s="8">
        <f t="shared" si="5"/>
        <v>2.7493920704845816</v>
      </c>
      <c r="H12" s="8">
        <f t="shared" si="6"/>
        <v>6.598540969162995</v>
      </c>
    </row>
    <row r="13" spans="1:21" x14ac:dyDescent="0.25">
      <c r="A13" s="5">
        <v>200</v>
      </c>
      <c r="B13" s="1">
        <v>6.1379999999999999</v>
      </c>
      <c r="D13" s="1">
        <v>3</v>
      </c>
      <c r="E13" s="8">
        <f t="shared" si="4"/>
        <v>1.1588420390182942E-2</v>
      </c>
      <c r="F13" s="8">
        <f t="shared" si="2"/>
        <v>0.10421371932032723</v>
      </c>
      <c r="G13" s="8">
        <f t="shared" si="5"/>
        <v>6.2528231592196342</v>
      </c>
      <c r="H13" s="8">
        <f t="shared" si="6"/>
        <v>7.5033877910635614</v>
      </c>
    </row>
    <row r="14" spans="1:21" x14ac:dyDescent="0.25">
      <c r="A14" s="5">
        <v>200</v>
      </c>
      <c r="B14" s="1">
        <v>6.1340000000000003</v>
      </c>
      <c r="D14" s="1">
        <v>3.2222</v>
      </c>
      <c r="E14" s="8">
        <f t="shared" si="4"/>
        <v>1.1580868470736751E-2</v>
      </c>
      <c r="F14" s="8">
        <f t="shared" si="2"/>
        <v>9.6673971050975457E-2</v>
      </c>
      <c r="G14" s="8">
        <f t="shared" si="5"/>
        <v>5.8004382630585276</v>
      </c>
      <c r="H14" s="8">
        <f t="shared" si="6"/>
        <v>6.9605259156702335</v>
      </c>
    </row>
    <row r="15" spans="1:21" x14ac:dyDescent="0.25">
      <c r="A15" s="5">
        <v>200</v>
      </c>
      <c r="B15" s="1">
        <v>8.1430000000000007</v>
      </c>
      <c r="D15" s="1">
        <v>5.16</v>
      </c>
      <c r="E15" s="8">
        <f t="shared" si="4"/>
        <v>1.5373820012587115E-2</v>
      </c>
      <c r="F15" s="8">
        <f t="shared" si="2"/>
        <v>9.892087266624712E-2</v>
      </c>
      <c r="G15" s="8">
        <f t="shared" si="5"/>
        <v>5.935252359974827</v>
      </c>
      <c r="H15" s="8">
        <f t="shared" si="6"/>
        <v>7.122302831969793</v>
      </c>
    </row>
    <row r="16" spans="1:21" x14ac:dyDescent="0.25">
      <c r="A16" s="5">
        <v>500</v>
      </c>
      <c r="B16" s="1">
        <v>7.0250000000000004</v>
      </c>
      <c r="D16" s="1">
        <v>1.2230000000000001</v>
      </c>
      <c r="E16" s="8">
        <f t="shared" si="4"/>
        <v>1.326305852737621E-2</v>
      </c>
      <c r="F16" s="8">
        <f t="shared" si="2"/>
        <v>0.19295789804908747</v>
      </c>
      <c r="G16" s="8">
        <f t="shared" ref="G16:G32" si="7">F16*60</f>
        <v>11.577473882945249</v>
      </c>
      <c r="H16" s="8">
        <f t="shared" si="6"/>
        <v>5.5571874638137198</v>
      </c>
    </row>
    <row r="17" spans="1:8" x14ac:dyDescent="0.25">
      <c r="A17" s="5">
        <v>500</v>
      </c>
      <c r="B17" s="1">
        <v>9.3230000000000004</v>
      </c>
      <c r="D17" s="1">
        <v>2.762</v>
      </c>
      <c r="E17" s="8">
        <f t="shared" si="4"/>
        <v>1.7601636249214007E-2</v>
      </c>
      <c r="F17" s="8">
        <f t="shared" si="2"/>
        <v>0.21811327879169287</v>
      </c>
      <c r="G17" s="8">
        <f t="shared" si="7"/>
        <v>13.086796727501572</v>
      </c>
      <c r="H17" s="8">
        <f t="shared" si="6"/>
        <v>6.2816624292007539</v>
      </c>
    </row>
    <row r="18" spans="1:8" x14ac:dyDescent="0.25">
      <c r="A18" s="5">
        <v>500</v>
      </c>
      <c r="B18" s="1">
        <v>7.95</v>
      </c>
      <c r="D18" s="1">
        <v>1.6888000000000001</v>
      </c>
      <c r="E18" s="8">
        <f t="shared" si="4"/>
        <v>1.5009439899308308E-2</v>
      </c>
      <c r="F18" s="8">
        <f t="shared" si="2"/>
        <v>0.20820635200335641</v>
      </c>
      <c r="G18" s="8">
        <f t="shared" si="7"/>
        <v>12.492381120201385</v>
      </c>
      <c r="H18" s="8">
        <f t="shared" si="6"/>
        <v>5.9963429376966646</v>
      </c>
    </row>
    <row r="19" spans="1:8" x14ac:dyDescent="0.25">
      <c r="A19" s="5">
        <v>500</v>
      </c>
      <c r="B19" s="1">
        <v>8.3610000000000007</v>
      </c>
      <c r="C19" s="1">
        <v>6.2944000000000004</v>
      </c>
      <c r="E19" s="8">
        <f>$C$3*B19*5/30</f>
        <v>2.6308999370674379E-3</v>
      </c>
      <c r="F19" s="8">
        <f>(B19-C19-E19)/$C$6</f>
        <v>0.41279382001258658</v>
      </c>
      <c r="G19" s="8">
        <f t="shared" si="7"/>
        <v>24.767629200755195</v>
      </c>
      <c r="H19" s="8">
        <f t="shared" si="6"/>
        <v>11.888462016362494</v>
      </c>
    </row>
    <row r="20" spans="1:8" x14ac:dyDescent="0.25">
      <c r="A20" s="5">
        <v>500</v>
      </c>
      <c r="B20" s="1">
        <v>10.581</v>
      </c>
      <c r="C20" s="1">
        <v>4.5670000000000002</v>
      </c>
      <c r="E20" s="8">
        <f>$C$3*B20*5/30</f>
        <v>3.3294524858402765E-3</v>
      </c>
      <c r="F20" s="8">
        <f t="shared" ref="F20:F32" si="8">(B20-C20-E20)/$C$6</f>
        <v>1.2021341095028317</v>
      </c>
      <c r="G20" s="8">
        <f t="shared" si="7"/>
        <v>72.1280465701699</v>
      </c>
      <c r="H20" s="8">
        <f t="shared" si="6"/>
        <v>34.621462353681551</v>
      </c>
    </row>
    <row r="21" spans="1:8" x14ac:dyDescent="0.25">
      <c r="A21" s="5">
        <v>500</v>
      </c>
      <c r="B21" s="1">
        <v>10.71</v>
      </c>
      <c r="C21" s="1">
        <v>8.4700000000000006</v>
      </c>
      <c r="E21" s="8">
        <f t="shared" ref="E21:E32" si="9">$C$3*B21*5/30</f>
        <v>3.3700440528635638E-3</v>
      </c>
      <c r="F21" s="8">
        <f t="shared" si="8"/>
        <v>0.44732599118942734</v>
      </c>
      <c r="G21" s="8">
        <f t="shared" si="7"/>
        <v>26.839559471365639</v>
      </c>
      <c r="H21" s="8">
        <f t="shared" si="6"/>
        <v>12.882988546255506</v>
      </c>
    </row>
    <row r="22" spans="1:8" x14ac:dyDescent="0.25">
      <c r="A22" s="5">
        <v>1000</v>
      </c>
      <c r="B22" s="1">
        <v>9.7100000000000009</v>
      </c>
      <c r="C22" s="1">
        <f>27-19.37</f>
        <v>7.629999999999999</v>
      </c>
      <c r="E22" s="8">
        <f t="shared" si="9"/>
        <v>3.0553807426055282E-3</v>
      </c>
      <c r="F22" s="8">
        <f t="shared" si="8"/>
        <v>0.41538892385147924</v>
      </c>
      <c r="G22" s="8">
        <f t="shared" si="7"/>
        <v>24.923335431088756</v>
      </c>
      <c r="H22" s="8">
        <f t="shared" si="6"/>
        <v>5.9816005034613013</v>
      </c>
    </row>
    <row r="23" spans="1:8" x14ac:dyDescent="0.25">
      <c r="A23" s="5">
        <v>5000</v>
      </c>
      <c r="B23" s="1">
        <v>8.6519999999999992</v>
      </c>
      <c r="C23" s="1">
        <v>2.1730999999999998</v>
      </c>
      <c r="E23" s="8">
        <f t="shared" si="9"/>
        <v>2.7224669603525256E-3</v>
      </c>
      <c r="F23" s="8">
        <f t="shared" si="8"/>
        <v>1.2952355066079293</v>
      </c>
      <c r="G23" s="8">
        <f t="shared" si="7"/>
        <v>77.714130396475753</v>
      </c>
      <c r="H23" s="8">
        <f t="shared" si="6"/>
        <v>3.7302782590308361</v>
      </c>
    </row>
    <row r="24" spans="1:8" x14ac:dyDescent="0.25">
      <c r="A24" s="5">
        <v>10000</v>
      </c>
      <c r="B24" s="1">
        <v>9.5790000000000006</v>
      </c>
      <c r="C24" s="1">
        <v>1.6727000000000001</v>
      </c>
      <c r="E24" s="8">
        <f t="shared" si="9"/>
        <v>3.0141598489617249E-3</v>
      </c>
      <c r="F24" s="8">
        <f t="shared" si="8"/>
        <v>1.5806571680302077</v>
      </c>
      <c r="G24" s="8">
        <f t="shared" si="7"/>
        <v>94.839430081812466</v>
      </c>
      <c r="H24" s="8">
        <f t="shared" si="6"/>
        <v>2.2761463219634992</v>
      </c>
    </row>
    <row r="25" spans="1:8" x14ac:dyDescent="0.25">
      <c r="A25" s="5">
        <v>2500</v>
      </c>
      <c r="B25" s="1">
        <v>11.417</v>
      </c>
      <c r="C25" s="1">
        <v>4.867</v>
      </c>
      <c r="E25" s="8">
        <f t="shared" si="9"/>
        <v>3.5925110132159952E-3</v>
      </c>
      <c r="F25" s="8">
        <f t="shared" si="8"/>
        <v>1.3092814977973568</v>
      </c>
      <c r="G25" s="8">
        <f t="shared" si="7"/>
        <v>78.556889867841406</v>
      </c>
      <c r="H25" s="8">
        <f t="shared" si="6"/>
        <v>7.5414614273127754</v>
      </c>
    </row>
    <row r="26" spans="1:8" x14ac:dyDescent="0.25">
      <c r="A26" s="5">
        <v>5000</v>
      </c>
      <c r="B26" s="1">
        <v>15.819000000000001</v>
      </c>
      <c r="C26" s="1">
        <v>0.69</v>
      </c>
      <c r="E26" s="8">
        <f t="shared" si="9"/>
        <v>4.9776589049718694E-3</v>
      </c>
      <c r="F26" s="8">
        <f t="shared" si="8"/>
        <v>3.0248044682190058</v>
      </c>
      <c r="G26" s="8">
        <f t="shared" si="7"/>
        <v>181.48826809314036</v>
      </c>
      <c r="H26" s="8">
        <f t="shared" si="6"/>
        <v>8.7114368684707362</v>
      </c>
    </row>
    <row r="27" spans="1:8" x14ac:dyDescent="0.25">
      <c r="A27" s="5">
        <v>2000</v>
      </c>
      <c r="B27" s="1">
        <v>10.435</v>
      </c>
      <c r="C27" s="1">
        <v>8.2650000000000006</v>
      </c>
      <c r="E27" s="8">
        <f t="shared" si="9"/>
        <v>3.2835116425426036E-3</v>
      </c>
      <c r="F27" s="8">
        <f t="shared" si="8"/>
        <v>0.43334329767149143</v>
      </c>
      <c r="G27" s="8">
        <f t="shared" si="7"/>
        <v>26.000597860289485</v>
      </c>
      <c r="H27" s="8">
        <f t="shared" si="6"/>
        <v>3.120071743234738</v>
      </c>
    </row>
    <row r="28" spans="1:8" x14ac:dyDescent="0.25">
      <c r="A28" s="5">
        <v>10000</v>
      </c>
      <c r="B28" s="1">
        <v>11.856</v>
      </c>
      <c r="C28" s="1">
        <v>8.5021000000000004</v>
      </c>
      <c r="E28" s="8">
        <f t="shared" si="9"/>
        <v>3.7306482064192728E-3</v>
      </c>
      <c r="F28" s="8">
        <f t="shared" si="8"/>
        <v>0.67003387035871609</v>
      </c>
      <c r="G28" s="8">
        <f t="shared" si="7"/>
        <v>40.202032221522963</v>
      </c>
      <c r="H28" s="8">
        <f t="shared" si="6"/>
        <v>0.96484877331655117</v>
      </c>
    </row>
    <row r="29" spans="1:8" x14ac:dyDescent="0.25">
      <c r="A29" s="5">
        <v>15000</v>
      </c>
      <c r="B29" s="1">
        <v>15.212</v>
      </c>
      <c r="C29" s="1">
        <v>11.259399999999999</v>
      </c>
      <c r="E29" s="8">
        <f t="shared" si="9"/>
        <v>4.7866582756452411E-3</v>
      </c>
      <c r="F29" s="8">
        <f t="shared" si="8"/>
        <v>0.78956266834487099</v>
      </c>
      <c r="G29" s="8">
        <f t="shared" si="7"/>
        <v>47.373760100692259</v>
      </c>
      <c r="H29" s="8">
        <f t="shared" si="6"/>
        <v>0.75798016161107606</v>
      </c>
    </row>
    <row r="30" spans="1:8" x14ac:dyDescent="0.25">
      <c r="A30" s="5">
        <v>30000</v>
      </c>
      <c r="B30" s="1">
        <v>17.716999999999999</v>
      </c>
      <c r="C30" s="14">
        <v>9.1441999999999997</v>
      </c>
      <c r="E30" s="8">
        <f t="shared" si="9"/>
        <v>5.5748898678416202E-3</v>
      </c>
      <c r="F30" s="8">
        <f t="shared" si="8"/>
        <v>1.7134450220264317</v>
      </c>
      <c r="G30" s="8">
        <f t="shared" si="7"/>
        <v>102.8067013215859</v>
      </c>
      <c r="H30" s="8">
        <f t="shared" si="6"/>
        <v>0.82245361057268718</v>
      </c>
    </row>
    <row r="31" spans="1:8" x14ac:dyDescent="0.25">
      <c r="A31" s="5">
        <v>58000</v>
      </c>
      <c r="B31" s="1">
        <v>12.749000000000001</v>
      </c>
      <c r="C31" s="1">
        <v>8.6300000000000008</v>
      </c>
      <c r="E31" s="8">
        <f t="shared" si="9"/>
        <v>4.0116425424796985E-3</v>
      </c>
      <c r="F31" s="8">
        <f t="shared" si="8"/>
        <v>0.82299767149150393</v>
      </c>
      <c r="G31" s="8">
        <f t="shared" si="7"/>
        <v>49.379860289490239</v>
      </c>
      <c r="H31" s="8">
        <f t="shared" si="6"/>
        <v>0.20433045637030445</v>
      </c>
    </row>
    <row r="32" spans="1:8" x14ac:dyDescent="0.25">
      <c r="A32" s="6">
        <v>3000</v>
      </c>
      <c r="B32" s="7">
        <v>9.94</v>
      </c>
      <c r="C32" s="7">
        <v>8.0500000000000007</v>
      </c>
      <c r="D32" s="7"/>
      <c r="E32" s="8">
        <f t="shared" si="9"/>
        <v>3.1277533039648759E-3</v>
      </c>
      <c r="F32" s="8">
        <f t="shared" si="8"/>
        <v>0.37737444933920677</v>
      </c>
      <c r="G32" s="8">
        <f t="shared" si="7"/>
        <v>22.642466960352408</v>
      </c>
      <c r="H32" s="8">
        <f t="shared" si="6"/>
        <v>1.8113973568281927</v>
      </c>
    </row>
    <row r="35" spans="1:4" x14ac:dyDescent="0.25">
      <c r="A35" s="1" t="s">
        <v>61</v>
      </c>
      <c r="B35" s="1">
        <f>0.25*PI()*'larva size'!A5*'larva size'!A7</f>
        <v>10.807078728348889</v>
      </c>
      <c r="C35" s="1" t="s">
        <v>62</v>
      </c>
    </row>
    <row r="37" spans="1:4" x14ac:dyDescent="0.25">
      <c r="A37" s="1" t="s">
        <v>65</v>
      </c>
      <c r="B37" s="1">
        <f>'orange calculations'!B4*0.895/B35</f>
        <v>336.8239290489247</v>
      </c>
    </row>
    <row r="39" spans="1:4" x14ac:dyDescent="0.25">
      <c r="A39" s="2" t="s">
        <v>9</v>
      </c>
    </row>
    <row r="40" spans="1:4" x14ac:dyDescent="0.25">
      <c r="A40" s="8">
        <f>L1</f>
        <v>2.6998573526326747E-2</v>
      </c>
      <c r="B40" s="1" t="s">
        <v>39</v>
      </c>
    </row>
    <row r="41" spans="1:4" x14ac:dyDescent="0.25">
      <c r="A41" s="2" t="s">
        <v>24</v>
      </c>
    </row>
    <row r="42" spans="1:4" x14ac:dyDescent="0.25">
      <c r="A42" s="1" t="s">
        <v>22</v>
      </c>
      <c r="B42" s="1">
        <v>0.44</v>
      </c>
    </row>
    <row r="43" spans="1:4" x14ac:dyDescent="0.25">
      <c r="A43" s="1" t="s">
        <v>23</v>
      </c>
      <c r="B43" s="1">
        <f>1/B42</f>
        <v>2.2727272727272729</v>
      </c>
    </row>
    <row r="44" spans="1:4" x14ac:dyDescent="0.25">
      <c r="A44" s="2" t="s">
        <v>25</v>
      </c>
    </row>
    <row r="46" spans="1:4" x14ac:dyDescent="0.25">
      <c r="A46" s="1" t="s">
        <v>28</v>
      </c>
      <c r="B46" s="1">
        <f>(B37*(1-B42)/('PIV data M'!K2*B42*5))-('PIV data M'!K3/'PIV data M'!K2)</f>
        <v>2853.3333495392617</v>
      </c>
    </row>
    <row r="47" spans="1:4" x14ac:dyDescent="0.25">
      <c r="A47" s="2" t="s">
        <v>26</v>
      </c>
    </row>
    <row r="48" spans="1:4" x14ac:dyDescent="0.25">
      <c r="A48" s="1" t="s">
        <v>16</v>
      </c>
      <c r="B48" s="1" t="s">
        <v>19</v>
      </c>
      <c r="C48" s="1" t="s">
        <v>20</v>
      </c>
      <c r="D48" s="1" t="s">
        <v>21</v>
      </c>
    </row>
    <row r="49" spans="1:4" x14ac:dyDescent="0.25">
      <c r="A49" s="1">
        <v>500</v>
      </c>
      <c r="B49" s="9">
        <f>'PIV data M'!B3</f>
        <v>6.3601999999999999</v>
      </c>
      <c r="C49" s="9">
        <f>$B$37+B49*5</f>
        <v>368.62492904892468</v>
      </c>
      <c r="D49" s="9">
        <f t="shared" ref="D49" si="10">C49*$A$40</f>
        <v>9.9523472505643742</v>
      </c>
    </row>
    <row r="50" spans="1:4" x14ac:dyDescent="0.25">
      <c r="A50" s="1">
        <v>1000</v>
      </c>
      <c r="B50" s="1">
        <f>'PIV data M'!B4</f>
        <v>46.4328</v>
      </c>
      <c r="C50" s="1">
        <f>$B$37+B50*5</f>
        <v>568.98792904892468</v>
      </c>
      <c r="D50" s="1">
        <f t="shared" ref="D50:D55" si="11">C50*$A$40</f>
        <v>15.361862438019779</v>
      </c>
    </row>
    <row r="51" spans="1:4" x14ac:dyDescent="0.25">
      <c r="A51" s="1">
        <f>B46</f>
        <v>2853.3333495392617</v>
      </c>
      <c r="C51" s="1">
        <f>$B$37*$B$43</f>
        <v>765.50892965664707</v>
      </c>
      <c r="D51" s="1">
        <f t="shared" si="11"/>
        <v>20.667649122394675</v>
      </c>
    </row>
    <row r="52" spans="1:4" x14ac:dyDescent="0.25">
      <c r="A52" s="9">
        <v>3000</v>
      </c>
      <c r="B52" s="9">
        <f>'PIV data M'!B5</f>
        <v>102.1786</v>
      </c>
      <c r="C52" s="9">
        <f>$B$37*$B$43</f>
        <v>765.50892965664707</v>
      </c>
      <c r="D52" s="9">
        <f t="shared" si="11"/>
        <v>20.667649122394675</v>
      </c>
    </row>
    <row r="53" spans="1:4" x14ac:dyDescent="0.25">
      <c r="A53" s="1">
        <v>5000</v>
      </c>
      <c r="B53" s="1">
        <f>'PIV data M'!B6</f>
        <v>126.1653</v>
      </c>
      <c r="C53" s="9">
        <f>$B$37*$B$43</f>
        <v>765.50892965664707</v>
      </c>
      <c r="D53" s="1">
        <f t="shared" si="11"/>
        <v>20.667649122394675</v>
      </c>
    </row>
    <row r="54" spans="1:4" x14ac:dyDescent="0.25">
      <c r="A54" s="1">
        <v>10000</v>
      </c>
      <c r="B54" s="1">
        <f>'PIV data M'!B7</f>
        <v>125.20659999999999</v>
      </c>
      <c r="C54" s="9">
        <f>$B$37*$B$43</f>
        <v>765.50892965664707</v>
      </c>
      <c r="D54" s="1">
        <f t="shared" si="11"/>
        <v>20.667649122394675</v>
      </c>
    </row>
    <row r="55" spans="1:4" x14ac:dyDescent="0.25">
      <c r="A55" s="1">
        <v>58000</v>
      </c>
      <c r="C55" s="1">
        <f>$B$37*$B$43</f>
        <v>765.50892965664707</v>
      </c>
      <c r="D55" s="1">
        <f t="shared" si="11"/>
        <v>20.667649122394675</v>
      </c>
    </row>
    <row r="56" spans="1:4" x14ac:dyDescent="0.25">
      <c r="A56" s="2" t="s">
        <v>27</v>
      </c>
    </row>
    <row r="57" spans="1:4" x14ac:dyDescent="0.25">
      <c r="A57" s="1" t="s">
        <v>10</v>
      </c>
      <c r="B57" s="1" t="s">
        <v>11</v>
      </c>
    </row>
    <row r="58" spans="1:4" x14ac:dyDescent="0.25">
      <c r="A58" s="1">
        <v>1</v>
      </c>
      <c r="B58" s="1">
        <f>A58*$A$40</f>
        <v>2.6998573526326747E-2</v>
      </c>
    </row>
    <row r="59" spans="1:4" x14ac:dyDescent="0.25">
      <c r="A59" s="1">
        <v>10</v>
      </c>
      <c r="B59" s="1">
        <f>A59*$A$40</f>
        <v>0.26998573526326747</v>
      </c>
    </row>
    <row r="60" spans="1:4" x14ac:dyDescent="0.25">
      <c r="A60" s="1">
        <v>50</v>
      </c>
      <c r="B60" s="1">
        <f>A60*$A$40</f>
        <v>1.3499286763163374</v>
      </c>
    </row>
    <row r="61" spans="1:4" x14ac:dyDescent="0.25">
      <c r="A61" s="1">
        <v>150</v>
      </c>
      <c r="B61" s="1">
        <f>A61*$A$40</f>
        <v>4.0497860289490122</v>
      </c>
    </row>
    <row r="62" spans="1:4" x14ac:dyDescent="0.25">
      <c r="A62" s="1">
        <f>B37</f>
        <v>336.8239290489247</v>
      </c>
      <c r="B62" s="1">
        <f>A62*$A$40</f>
        <v>9.0937656138536571</v>
      </c>
    </row>
    <row r="63" spans="1:4" x14ac:dyDescent="0.25">
      <c r="A63" s="1">
        <v>500</v>
      </c>
      <c r="B63" s="1">
        <f>D49</f>
        <v>9.9523472505643742</v>
      </c>
    </row>
    <row r="64" spans="1:4" x14ac:dyDescent="0.25">
      <c r="A64" s="1">
        <v>1000</v>
      </c>
      <c r="B64" s="1">
        <f>D50</f>
        <v>15.361862438019779</v>
      </c>
    </row>
    <row r="65" spans="1:2" x14ac:dyDescent="0.25">
      <c r="A65" s="1">
        <f>A51</f>
        <v>2853.3333495392617</v>
      </c>
      <c r="B65" s="1">
        <f>D51</f>
        <v>20.667649122394675</v>
      </c>
    </row>
    <row r="66" spans="1:2" x14ac:dyDescent="0.25">
      <c r="A66" s="1">
        <v>3000</v>
      </c>
      <c r="B66" s="1">
        <f>B65</f>
        <v>20.667649122394675</v>
      </c>
    </row>
    <row r="67" spans="1:2" x14ac:dyDescent="0.25">
      <c r="A67" s="1">
        <v>5000</v>
      </c>
      <c r="B67" s="1">
        <f>D53</f>
        <v>20.667649122394675</v>
      </c>
    </row>
    <row r="68" spans="1:2" x14ac:dyDescent="0.25">
      <c r="A68" s="1">
        <v>10000</v>
      </c>
      <c r="B68" s="1">
        <f>D54</f>
        <v>20.667649122394675</v>
      </c>
    </row>
    <row r="69" spans="1:2" x14ac:dyDescent="0.25">
      <c r="A69" s="1">
        <v>58000</v>
      </c>
      <c r="B69" s="1">
        <f>D55</f>
        <v>20.667649122394675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B1A8-CB9D-4B4F-92AA-B0F00B23D628}">
  <dimension ref="A1:D7"/>
  <sheetViews>
    <sheetView workbookViewId="0">
      <selection activeCell="M35" sqref="M35"/>
    </sheetView>
  </sheetViews>
  <sheetFormatPr defaultRowHeight="15" x14ac:dyDescent="0.25"/>
  <sheetData>
    <row r="1" spans="1:4" x14ac:dyDescent="0.25">
      <c r="A1" t="s">
        <v>53</v>
      </c>
      <c r="B1">
        <v>1143.1559999999999</v>
      </c>
      <c r="C1" t="s">
        <v>36</v>
      </c>
    </row>
    <row r="2" spans="1:4" x14ac:dyDescent="0.25">
      <c r="A2" t="s">
        <v>54</v>
      </c>
      <c r="B2">
        <v>1065.335</v>
      </c>
      <c r="C2">
        <f>B2*B7/B6</f>
        <v>1190.6685294117647</v>
      </c>
      <c r="D2" t="s">
        <v>36</v>
      </c>
    </row>
    <row r="3" spans="1:4" x14ac:dyDescent="0.25">
      <c r="A3" t="s">
        <v>55</v>
      </c>
      <c r="B3">
        <v>590.15099999999995</v>
      </c>
      <c r="C3" t="s">
        <v>36</v>
      </c>
    </row>
    <row r="4" spans="1:4" x14ac:dyDescent="0.25">
      <c r="A4" t="s">
        <v>56</v>
      </c>
      <c r="B4">
        <f>2*B1+C2+B3</f>
        <v>4067.1315294117644</v>
      </c>
      <c r="C4" t="s">
        <v>36</v>
      </c>
    </row>
    <row r="6" spans="1:4" x14ac:dyDescent="0.25">
      <c r="A6" t="s">
        <v>57</v>
      </c>
      <c r="B6">
        <v>51</v>
      </c>
    </row>
    <row r="7" spans="1:4" x14ac:dyDescent="0.25">
      <c r="A7" t="s">
        <v>58</v>
      </c>
      <c r="B7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Larva eating timing</vt:lpstr>
      <vt:lpstr>larva size</vt:lpstr>
      <vt:lpstr>PIV data M</vt:lpstr>
      <vt:lpstr>Group feeding raw data (4)</vt:lpstr>
      <vt:lpstr>orange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Shishkov</dc:creator>
  <cp:lastModifiedBy>Olga Shishkov</cp:lastModifiedBy>
  <dcterms:created xsi:type="dcterms:W3CDTF">2018-06-01T17:21:40Z</dcterms:created>
  <dcterms:modified xsi:type="dcterms:W3CDTF">2018-12-28T16:33:40Z</dcterms:modified>
</cp:coreProperties>
</file>